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35-19-2 ОТчет  ЖЭУ-10" sheetId="4" r:id="rId1"/>
  </sheets>
  <definedNames>
    <definedName name="_xlnm.Print_Area" localSheetId="0">'35-19-2 ОТчет  ЖЭУ-10'!$A$1:$P$48</definedName>
  </definedNames>
  <calcPr calcId="125725"/>
</workbook>
</file>

<file path=xl/calcChain.xml><?xml version="1.0" encoding="utf-8"?>
<calcChain xmlns="http://schemas.openxmlformats.org/spreadsheetml/2006/main">
  <c r="N39" i="4"/>
  <c r="N38"/>
  <c r="N8" l="1"/>
  <c r="N9"/>
  <c r="N10"/>
  <c r="N11"/>
  <c r="N12"/>
  <c r="P12"/>
  <c r="N16"/>
  <c r="G50"/>
  <c r="J50" s="1"/>
  <c r="N45"/>
  <c r="J45"/>
  <c r="N44"/>
  <c r="J44"/>
  <c r="N43"/>
  <c r="J43"/>
  <c r="K42"/>
  <c r="N42" s="1"/>
  <c r="J42"/>
  <c r="N41"/>
  <c r="J41"/>
  <c r="G48" s="1"/>
  <c r="J40"/>
  <c r="J39"/>
  <c r="P43"/>
  <c r="O43"/>
  <c r="J38"/>
  <c r="N36"/>
  <c r="N35"/>
  <c r="N34"/>
  <c r="P33"/>
  <c r="G32"/>
  <c r="K32" s="1"/>
  <c r="K31"/>
  <c r="N31" s="1"/>
  <c r="N30"/>
  <c r="P30"/>
  <c r="N29"/>
  <c r="G29"/>
  <c r="J29" s="1"/>
  <c r="P29"/>
  <c r="N28"/>
  <c r="G28"/>
  <c r="J28" s="1"/>
  <c r="G27"/>
  <c r="K27" s="1"/>
  <c r="N27" s="1"/>
  <c r="P27"/>
  <c r="M26"/>
  <c r="G26"/>
  <c r="O27" s="1"/>
  <c r="P26"/>
  <c r="N25"/>
  <c r="F25"/>
  <c r="G25" s="1"/>
  <c r="J25" s="1"/>
  <c r="P25"/>
  <c r="N24"/>
  <c r="G24"/>
  <c r="J24" s="1"/>
  <c r="P24"/>
  <c r="N23"/>
  <c r="G23"/>
  <c r="J23" s="1"/>
  <c r="P23"/>
  <c r="G22"/>
  <c r="N21"/>
  <c r="G21"/>
  <c r="J21" s="1"/>
  <c r="P21"/>
  <c r="N20"/>
  <c r="H20"/>
  <c r="G20"/>
  <c r="J20" s="1"/>
  <c r="P19"/>
  <c r="N19"/>
  <c r="H19"/>
  <c r="G19"/>
  <c r="J19" s="1"/>
  <c r="P18"/>
  <c r="K18"/>
  <c r="N18" s="1"/>
  <c r="H18"/>
  <c r="G18"/>
  <c r="J18" s="1"/>
  <c r="G17"/>
  <c r="K17" s="1"/>
  <c r="N17" s="1"/>
  <c r="P16"/>
  <c r="G16"/>
  <c r="J16" s="1"/>
  <c r="G15"/>
  <c r="J15" s="1"/>
  <c r="N14"/>
  <c r="G14"/>
  <c r="J14" s="1"/>
  <c r="N13"/>
  <c r="G12"/>
  <c r="K12" s="1"/>
  <c r="P11"/>
  <c r="G11"/>
  <c r="K11" s="1"/>
  <c r="P10"/>
  <c r="G10"/>
  <c r="K10" s="1"/>
  <c r="P9"/>
  <c r="G9"/>
  <c r="K9" s="1"/>
  <c r="P8"/>
  <c r="G8"/>
  <c r="G46" l="1"/>
  <c r="P35"/>
  <c r="N32"/>
  <c r="J8"/>
  <c r="K8"/>
  <c r="J9"/>
  <c r="J10"/>
  <c r="J11"/>
  <c r="J12"/>
  <c r="J17"/>
  <c r="J22"/>
  <c r="J26"/>
  <c r="K26"/>
  <c r="N26" s="1"/>
  <c r="N7" s="1"/>
  <c r="J27"/>
  <c r="J32"/>
  <c r="N46" l="1"/>
  <c r="N47" s="1"/>
  <c r="G51"/>
  <c r="J51" s="1"/>
  <c r="G52" s="1"/>
  <c r="G47"/>
  <c r="G49" s="1"/>
  <c r="J46"/>
  <c r="O72" l="1"/>
  <c r="O73"/>
  <c r="P73"/>
</calcChain>
</file>

<file path=xl/sharedStrings.xml><?xml version="1.0" encoding="utf-8"?>
<sst xmlns="http://schemas.openxmlformats.org/spreadsheetml/2006/main" count="127" uniqueCount="89">
  <si>
    <t>№пп</t>
  </si>
  <si>
    <t>Работа</t>
  </si>
  <si>
    <t xml:space="preserve"> Работы, выполняемые для надлежащего содержания  общего имущества в многоквартирном доме</t>
  </si>
  <si>
    <t>Проверка территории вокруг здания и фундамента</t>
  </si>
  <si>
    <t>1000 кв.м. общей площади</t>
  </si>
  <si>
    <t>Сметный расчет</t>
  </si>
  <si>
    <t>Калькуляция №1</t>
  </si>
  <si>
    <t>Проверка кирпичных и железобетонных стен, фасадов, работы выполняемые для надлежащего  их содержания</t>
  </si>
  <si>
    <t>Калькуляция №2</t>
  </si>
  <si>
    <t>Проверка заполнения дверных и оконных проемов, работы выполняемые для надлежащего  их содержания</t>
  </si>
  <si>
    <t>Калькуляция №3</t>
  </si>
  <si>
    <t>Проверка всех элементов мягкой кровли, водостоков, работы выполняемые для надлежащего  их содержания</t>
  </si>
  <si>
    <t>1000 кв.м. общей кровли</t>
  </si>
  <si>
    <t>Калькуляция №4</t>
  </si>
  <si>
    <t>Проверка внутренней отделки стен, работы выполняемые для надлежащего  их содержания</t>
  </si>
  <si>
    <t>Калькуляция №5</t>
  </si>
  <si>
    <t>Очистка кровли от мусора и листьев</t>
  </si>
  <si>
    <t>100 кв.м. кровли</t>
  </si>
  <si>
    <t>Калькуляция №16</t>
  </si>
  <si>
    <t>Проверка   устройств системы центрального отопления,работы выполняемые для надлежащего  их содержания</t>
  </si>
  <si>
    <t>1000 м2 осматриваемых помещений</t>
  </si>
  <si>
    <t>Калькуляция №6</t>
  </si>
  <si>
    <t>Проверка водопровода,канализации и горячего водоснабжения,работы выполняемые для надлежащего  их содержания</t>
  </si>
  <si>
    <t>100 квартир</t>
  </si>
  <si>
    <t>Калькуляция №7</t>
  </si>
  <si>
    <t>Проверка  электросети, арматуры,электрооборудования на лестничных клетках,работы выполняемые для надлежащего  их содержания</t>
  </si>
  <si>
    <t>10 лестничных площадок</t>
  </si>
  <si>
    <t>Калькуляция №8</t>
  </si>
  <si>
    <t xml:space="preserve">Проверка индивидуальных приборов учета, снятие показаний,составление актов проверки.           </t>
  </si>
  <si>
    <t>1 квартира</t>
  </si>
  <si>
    <t>Калькуляция №9</t>
  </si>
  <si>
    <t>Визуальная проверка узла учета и проверка наличия и нарушения пломб,снятие и запись показаний с вычислителя в журнал, проверка работоспособности запорной арматуры для отключения фильтров,при отказе или неисправной работе счетчика - поиск неисправностей</t>
  </si>
  <si>
    <t>1 прибор учета</t>
  </si>
  <si>
    <t>Калькуляция №10</t>
  </si>
  <si>
    <t>Ремонт  узла центрального отопления</t>
  </si>
  <si>
    <t>узел</t>
  </si>
  <si>
    <t>Расчет № 1</t>
  </si>
  <si>
    <t>Устранение засоров внутренних канализационных трубопроводов</t>
  </si>
  <si>
    <t>100 м трубы</t>
  </si>
  <si>
    <t>Калькуляция №14</t>
  </si>
  <si>
    <t xml:space="preserve">Ликвидация аварий и неисправностей внутридомового оборудования и сетей водоотведения, холодного и горячего водоснабжения, центрального отопления и электроснабжения по заявкам ЖЭУ и указаниям руководителей  </t>
  </si>
  <si>
    <t>Подготовка системы ц/о к опрессовке наружных сетей</t>
  </si>
  <si>
    <t>Промывка, опрессовка трубопроводов системы центрального отопления,работы выполняемые для подготовки   МКД к отопительному сезону</t>
  </si>
  <si>
    <t>Калькуляция №15</t>
  </si>
  <si>
    <t>Обслуживание мусоропровода</t>
  </si>
  <si>
    <t>шт</t>
  </si>
  <si>
    <t>Работы выполняемые для надлежащего   содержания и обслуживания лифтов</t>
  </si>
  <si>
    <t>лифт</t>
  </si>
  <si>
    <t>Проверка наличия тяги в дымовентиляционных каналах,принятие мер по устранению, выявленных нарушений, составление актов проверки</t>
  </si>
  <si>
    <t>Калькуляция №11</t>
  </si>
  <si>
    <t>Обеспечение локализации и ликвидации аварийных ситуаций в МКД (с 17.30 до 8.30 в будние дни, выходные - круглосуточно)</t>
  </si>
  <si>
    <t>Расчет №2</t>
  </si>
  <si>
    <t>Расчет трудовых показателей от нормы обслуживания придомовой территории</t>
  </si>
  <si>
    <t>Расчет по нормативной численности № 1</t>
  </si>
  <si>
    <t xml:space="preserve"> Организация работ по технической эксплуатации дома в соответствии с действующими требованиями ; организация работ по санитарному содержанию дома в соответствии с действующими требованиями; организация поставки коммунальных ресурсов; расчетно-кассовое обслуживание, начисление, сбор и взыскание платежей; контроль соблюдения собственниками и нанимателями нормативных требований; регистрационный учет граждан; выполнение следующих основных функций:
• проведение ежегодной оценки состояния общего имущества;
• планирование расходов и доходов на содержание и текущий ремонт  МКД;
• заключение и контроль договоров с ресурсоснабжающими организациями на поставку коммунальных ресурсов;
• заключение и контроль договоров с подрядными организациями на выполнение работ по содержанию и текущему ремонту общего имущества МКД в соответствии с утвержденным перечнем.
• контроль соблюдения собственниками помещений правил пользования жилыми и нежилыми помещениями и общим имуществом;
• организация работ по эксплуатации общего имущества МКД, в том числе эксплуатации внутридомовых сетей и инженерного оборудования;
• начисление собственникам жилых и нежилых помещений в МКД 
платы за жилое помещение и коммунальные услуги;
• сбор платы за содержание и ремонт общего имущества
 МКД и коммунальные услуги;
• контроль установленного порядка оплаты собственниками 
помещений жилищных и коммунальных услуг, в том числе и 
взыскание задолженности;
• выполнение мероприятий, связанных с сбережением 
энергоресурсов в МКД;
• взаимодействие с государственными органами и учреждениями
по вопросам управления и эксплуатации общего имущества в МКД;
• взаимодействие с советом дома, собственниками и нанимателями
 помещений по вопросам управления и эксплуатации
 общего имущества в МКД.  </t>
  </si>
  <si>
    <t>1000 кв.м. Общей площади.</t>
  </si>
  <si>
    <t>Расчет стоимости услуг №11</t>
  </si>
  <si>
    <t>Расчет № 4</t>
  </si>
  <si>
    <t>п.м.</t>
  </si>
  <si>
    <t xml:space="preserve">Расчет </t>
  </si>
  <si>
    <t>Коммунальная услуга на содержание общего имущества МКД  на теплоноситель ГВС</t>
  </si>
  <si>
    <t>ст.156 ЖК РФ</t>
  </si>
  <si>
    <t>Коммунальная услуга на содержание общего имущества МКД  на теплоэнергию  ГВС</t>
  </si>
  <si>
    <t>Коммунальная услуга на содержание общего имущества МКД  на ХВС</t>
  </si>
  <si>
    <t>Коммунальная услуга на содержание общего имущества МКД  на водоотведение</t>
  </si>
  <si>
    <t>Коммунальная услуга на содержание общего имущества МКД  на элетроснабжение</t>
  </si>
  <si>
    <t>по мере необходимости</t>
  </si>
  <si>
    <t>Уборка придомовой  территории в теплый и холодный период времени года</t>
  </si>
  <si>
    <t>Очистка кровли от снега</t>
  </si>
  <si>
    <t>транспортные расходы</t>
  </si>
  <si>
    <t>19год 2 полуг</t>
  </si>
  <si>
    <t>Диагностика вдго</t>
  </si>
  <si>
    <t>1--10</t>
  </si>
  <si>
    <t>1--9</t>
  </si>
  <si>
    <t>Установка горки, карусели на 4 дома</t>
  </si>
  <si>
    <t>Начислено денежных средств от населения по статье "содержание ремонт"</t>
  </si>
  <si>
    <t>Оплачено денежных средств от населения по статье "содержание ремонт"</t>
  </si>
  <si>
    <t>Остаток на 01.01.2019год</t>
  </si>
  <si>
    <t>Расходы:</t>
  </si>
  <si>
    <t xml:space="preserve">Отчет управляющей организации за содержание  общего имущества МКД № 19/2,35 микрорайон на 2019 год </t>
  </si>
  <si>
    <t xml:space="preserve">ИТОГО </t>
  </si>
  <si>
    <t>Остаток на 01.10.2019год</t>
  </si>
  <si>
    <t>Общестроительные  работы( ремонт потолка в электрощитовой, ремонт крыльца п№1)</t>
  </si>
  <si>
    <t>Благоустройство( установка урн, покраска детского оборудования)</t>
  </si>
  <si>
    <t>Сантехнические  работы (смена трубопроводов, вентилей ХВС,ГВС, ЦО, канализации, изоляция)</t>
  </si>
  <si>
    <t>Установка песочницы</t>
  </si>
  <si>
    <t>Сантехнические работы по устройству узла учета ХВС на 2 дома</t>
  </si>
  <si>
    <t xml:space="preserve"> Сантехнические работы по устройству узла учета ГВС на 4 дома</t>
  </si>
  <si>
    <t>Вывоз мусора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</si>
</sst>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_р_._-;\-* #,##0.00_р_._-;_-* \-??_р_._-;_-@_-"/>
    <numFmt numFmtId="165" formatCode="_-* #,##0.0_р_._-;\-* #,##0.0_р_._-;_-* \-??_р_._-;_-@_-"/>
    <numFmt numFmtId="166" formatCode="_-* #,##0_р_._-;\-* #,##0_р_._-;_-* \-??_р_._-;_-@_-"/>
    <numFmt numFmtId="168" formatCode="_-* #,##0.0_р_._-;\-* #,##0.0_р_._-;_-* &quot;-&quot;?_р_._-;_-@_-"/>
  </numFmts>
  <fonts count="3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0"/>
      <name val="Arial"/>
      <family val="2"/>
      <charset val="204"/>
    </font>
    <font>
      <u/>
      <sz val="7.65"/>
      <color indexed="12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</font>
    <font>
      <sz val="11"/>
      <name val="Arial"/>
      <family val="2"/>
      <charset val="204"/>
    </font>
    <font>
      <sz val="9"/>
      <name val="Arial"/>
      <family val="2"/>
      <charset val="204"/>
    </font>
    <font>
      <u/>
      <sz val="11"/>
      <color indexed="8"/>
      <name val="Arial"/>
      <family val="2"/>
      <charset val="204"/>
    </font>
    <font>
      <sz val="16"/>
      <color theme="1"/>
      <name val="Calibri"/>
      <family val="2"/>
      <charset val="204"/>
      <scheme val="minor"/>
    </font>
    <font>
      <sz val="16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b/>
      <sz val="16"/>
      <color indexed="60"/>
      <name val="Arial"/>
      <family val="2"/>
      <charset val="204"/>
    </font>
    <font>
      <sz val="16"/>
      <color rgb="FFFF0000"/>
      <name val="Calibri"/>
      <family val="2"/>
      <charset val="204"/>
      <scheme val="minor"/>
    </font>
    <font>
      <b/>
      <sz val="16"/>
      <color theme="1"/>
      <name val="Arial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indexed="16"/>
      <name val="Times New Roman"/>
      <family val="1"/>
      <charset val="204"/>
    </font>
    <font>
      <b/>
      <sz val="18"/>
      <color indexed="9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8"/>
      <color indexed="16"/>
      <name val="Times New Roman"/>
      <family val="1"/>
      <charset val="204"/>
    </font>
    <font>
      <sz val="18"/>
      <color indexed="54"/>
      <name val="Times New Roman"/>
      <family val="1"/>
      <charset val="204"/>
    </font>
    <font>
      <u/>
      <sz val="18"/>
      <color indexed="12"/>
      <name val="Times New Roman"/>
      <family val="1"/>
      <charset val="204"/>
    </font>
    <font>
      <i/>
      <u/>
      <sz val="18"/>
      <color indexed="8"/>
      <name val="Times New Roman"/>
      <family val="1"/>
      <charset val="204"/>
    </font>
    <font>
      <sz val="18"/>
      <color indexed="17"/>
      <name val="Times New Roman"/>
      <family val="1"/>
      <charset val="204"/>
    </font>
    <font>
      <sz val="18"/>
      <color indexed="4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8"/>
      <color indexed="53"/>
      <name val="Times New Roman"/>
      <family val="1"/>
      <charset val="204"/>
    </font>
    <font>
      <sz val="18"/>
      <color indexed="60"/>
      <name val="Times New Roman"/>
      <family val="1"/>
      <charset val="204"/>
    </font>
    <font>
      <sz val="18"/>
      <color indexed="14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8"/>
      <color indexed="6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0" fontId="3" fillId="0" borderId="0"/>
  </cellStyleXfs>
  <cellXfs count="185">
    <xf numFmtId="0" fontId="0" fillId="0" borderId="0" xfId="0"/>
    <xf numFmtId="0" fontId="6" fillId="0" borderId="0" xfId="0" applyFont="1"/>
    <xf numFmtId="0" fontId="5" fillId="0" borderId="0" xfId="0" applyFont="1" applyFill="1" applyBorder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9" fillId="0" borderId="0" xfId="0" applyFont="1" applyFill="1" applyProtection="1"/>
    <xf numFmtId="0" fontId="7" fillId="0" borderId="0" xfId="0" applyFont="1" applyFill="1" applyBorder="1" applyProtection="1"/>
    <xf numFmtId="4" fontId="0" fillId="0" borderId="0" xfId="0" applyNumberFormat="1"/>
    <xf numFmtId="2" fontId="0" fillId="0" borderId="0" xfId="0" applyNumberFormat="1"/>
    <xf numFmtId="0" fontId="10" fillId="0" borderId="8" xfId="0" applyFont="1" applyBorder="1"/>
    <xf numFmtId="0" fontId="10" fillId="0" borderId="0" xfId="0" applyFont="1" applyAlignment="1">
      <alignment horizontal="center" vertical="center"/>
    </xf>
    <xf numFmtId="164" fontId="17" fillId="0" borderId="1" xfId="1" applyNumberFormat="1" applyFont="1" applyFill="1" applyBorder="1" applyAlignment="1" applyProtection="1">
      <alignment horizontal="center" vertical="center"/>
    </xf>
    <xf numFmtId="168" fontId="10" fillId="0" borderId="8" xfId="0" applyNumberFormat="1" applyFont="1" applyBorder="1"/>
    <xf numFmtId="43" fontId="10" fillId="0" borderId="8" xfId="0" applyNumberFormat="1" applyFont="1" applyBorder="1"/>
    <xf numFmtId="0" fontId="10" fillId="0" borderId="0" xfId="0" applyFont="1"/>
    <xf numFmtId="0" fontId="18" fillId="0" borderId="8" xfId="0" applyFont="1" applyFill="1" applyBorder="1" applyAlignment="1" applyProtection="1">
      <alignment horizontal="left" vertical="center" wrapText="1"/>
    </xf>
    <xf numFmtId="164" fontId="10" fillId="0" borderId="12" xfId="0" applyNumberFormat="1" applyFont="1" applyBorder="1" applyAlignment="1">
      <alignment horizontal="center" vertical="center"/>
    </xf>
    <xf numFmtId="0" fontId="0" fillId="0" borderId="0" xfId="0" applyFill="1" applyBorder="1"/>
    <xf numFmtId="2" fontId="0" fillId="0" borderId="0" xfId="0" applyNumberFormat="1" applyBorder="1"/>
    <xf numFmtId="0" fontId="0" fillId="0" borderId="0" xfId="0" applyBorder="1"/>
    <xf numFmtId="4" fontId="0" fillId="0" borderId="0" xfId="0" applyNumberFormat="1" applyFill="1" applyBorder="1" applyAlignment="1" applyProtection="1">
      <alignment horizontal="right" vertical="center"/>
    </xf>
    <xf numFmtId="4" fontId="11" fillId="0" borderId="0" xfId="0" applyNumberFormat="1" applyFont="1" applyBorder="1" applyAlignment="1">
      <alignment horizontal="center" vertical="center" wrapText="1"/>
    </xf>
    <xf numFmtId="164" fontId="10" fillId="0" borderId="0" xfId="0" applyNumberFormat="1" applyFont="1" applyBorder="1" applyAlignment="1">
      <alignment horizontal="center" vertical="center"/>
    </xf>
    <xf numFmtId="164" fontId="16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/>
    <xf numFmtId="1" fontId="10" fillId="0" borderId="0" xfId="0" applyNumberFormat="1" applyFont="1" applyBorder="1"/>
    <xf numFmtId="0" fontId="8" fillId="0" borderId="0" xfId="0" applyFont="1" applyBorder="1"/>
    <xf numFmtId="0" fontId="7" fillId="0" borderId="0" xfId="0" applyFont="1" applyFill="1" applyBorder="1" applyAlignment="1" applyProtection="1">
      <alignment horizontal="right"/>
    </xf>
    <xf numFmtId="0" fontId="10" fillId="0" borderId="0" xfId="0" applyFont="1" applyBorder="1" applyAlignment="1">
      <alignment horizontal="center"/>
    </xf>
    <xf numFmtId="0" fontId="10" fillId="0" borderId="10" xfId="0" applyFont="1" applyBorder="1"/>
    <xf numFmtId="43" fontId="10" fillId="0" borderId="0" xfId="0" applyNumberFormat="1" applyFont="1" applyBorder="1"/>
    <xf numFmtId="165" fontId="10" fillId="0" borderId="12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14" fillId="0" borderId="12" xfId="0" applyNumberFormat="1" applyFont="1" applyBorder="1" applyAlignment="1">
      <alignment horizontal="center" vertical="center"/>
    </xf>
    <xf numFmtId="165" fontId="14" fillId="0" borderId="12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4" fontId="13" fillId="0" borderId="0" xfId="0" applyNumberFormat="1" applyFont="1" applyFill="1" applyBorder="1" applyAlignment="1" applyProtection="1">
      <alignment horizontal="center" vertical="center"/>
    </xf>
    <xf numFmtId="164" fontId="13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Border="1"/>
    <xf numFmtId="4" fontId="10" fillId="0" borderId="0" xfId="0" applyNumberFormat="1" applyFont="1" applyBorder="1" applyAlignment="1">
      <alignment horizontal="center"/>
    </xf>
    <xf numFmtId="4" fontId="0" fillId="0" borderId="0" xfId="0" applyNumberFormat="1" applyBorder="1"/>
    <xf numFmtId="164" fontId="15" fillId="0" borderId="0" xfId="0" applyNumberFormat="1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/>
    </xf>
    <xf numFmtId="0" fontId="20" fillId="2" borderId="26" xfId="0" applyFont="1" applyFill="1" applyBorder="1" applyAlignment="1" applyProtection="1">
      <alignment horizontal="center" vertical="center" wrapText="1"/>
    </xf>
    <xf numFmtId="0" fontId="18" fillId="0" borderId="8" xfId="0" applyFont="1" applyFill="1" applyBorder="1" applyAlignment="1" applyProtection="1">
      <alignment horizontal="center" vertical="center" wrapText="1"/>
    </xf>
    <xf numFmtId="0" fontId="21" fillId="0" borderId="8" xfId="0" applyFont="1" applyFill="1" applyBorder="1" applyAlignment="1" applyProtection="1">
      <alignment horizontal="center" vertical="center" wrapText="1"/>
    </xf>
    <xf numFmtId="0" fontId="22" fillId="0" borderId="0" xfId="0" applyFont="1" applyBorder="1"/>
    <xf numFmtId="0" fontId="22" fillId="0" borderId="8" xfId="0" applyFont="1" applyBorder="1"/>
    <xf numFmtId="164" fontId="22" fillId="0" borderId="8" xfId="0" applyNumberFormat="1" applyFont="1" applyBorder="1"/>
    <xf numFmtId="0" fontId="23" fillId="0" borderId="5" xfId="0" applyFont="1" applyFill="1" applyBorder="1" applyAlignment="1" applyProtection="1">
      <alignment horizontal="left" vertical="center" wrapText="1"/>
    </xf>
    <xf numFmtId="0" fontId="24" fillId="0" borderId="5" xfId="0" applyFont="1" applyFill="1" applyBorder="1" applyAlignment="1" applyProtection="1">
      <alignment horizontal="center" vertical="center" wrapText="1"/>
    </xf>
    <xf numFmtId="0" fontId="22" fillId="0" borderId="5" xfId="0" applyFont="1" applyFill="1" applyBorder="1" applyAlignment="1" applyProtection="1">
      <alignment horizontal="center" vertical="center" wrapText="1"/>
    </xf>
    <xf numFmtId="164" fontId="25" fillId="3" borderId="5" xfId="1" applyNumberFormat="1" applyFont="1" applyFill="1" applyBorder="1" applyAlignment="1" applyProtection="1">
      <alignment horizontal="center" vertical="center"/>
    </xf>
    <xf numFmtId="164" fontId="18" fillId="0" borderId="5" xfId="1" applyNumberFormat="1" applyFont="1" applyFill="1" applyBorder="1" applyAlignment="1" applyProtection="1">
      <alignment horizontal="center" vertical="center"/>
    </xf>
    <xf numFmtId="4" fontId="26" fillId="0" borderId="5" xfId="2" applyNumberFormat="1" applyFont="1" applyFill="1" applyBorder="1" applyAlignment="1" applyProtection="1">
      <alignment horizontal="left" vertical="distributed" wrapText="1"/>
    </xf>
    <xf numFmtId="4" fontId="26" fillId="0" borderId="19" xfId="2" applyNumberFormat="1" applyFont="1" applyFill="1" applyBorder="1" applyAlignment="1" applyProtection="1">
      <alignment horizontal="left" vertical="distributed" wrapText="1"/>
    </xf>
    <xf numFmtId="4" fontId="22" fillId="0" borderId="24" xfId="0" applyNumberFormat="1" applyFont="1" applyFill="1" applyBorder="1" applyAlignment="1" applyProtection="1">
      <alignment horizontal="right" vertical="center"/>
    </xf>
    <xf numFmtId="164" fontId="18" fillId="0" borderId="1" xfId="1" applyNumberFormat="1" applyFont="1" applyFill="1" applyBorder="1" applyAlignment="1" applyProtection="1">
      <alignment horizontal="center" vertical="center"/>
    </xf>
    <xf numFmtId="164" fontId="22" fillId="0" borderId="9" xfId="0" applyNumberFormat="1" applyFont="1" applyFill="1" applyBorder="1" applyAlignment="1" applyProtection="1">
      <alignment horizontal="center" vertical="center"/>
    </xf>
    <xf numFmtId="164" fontId="22" fillId="0" borderId="8" xfId="0" applyNumberFormat="1" applyFont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left" vertical="center" wrapText="1"/>
    </xf>
    <xf numFmtId="0" fontId="24" fillId="0" borderId="1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 wrapText="1"/>
    </xf>
    <xf numFmtId="164" fontId="25" fillId="3" borderId="1" xfId="1" applyNumberFormat="1" applyFont="1" applyFill="1" applyBorder="1" applyAlignment="1" applyProtection="1">
      <alignment horizontal="center" vertical="center"/>
    </xf>
    <xf numFmtId="4" fontId="26" fillId="0" borderId="4" xfId="2" applyNumberFormat="1" applyFont="1" applyFill="1" applyBorder="1" applyAlignment="1" applyProtection="1">
      <alignment horizontal="left" vertical="distributed" wrapText="1"/>
    </xf>
    <xf numFmtId="4" fontId="26" fillId="0" borderId="1" xfId="2" applyNumberFormat="1" applyFont="1" applyFill="1" applyBorder="1" applyAlignment="1" applyProtection="1">
      <alignment horizontal="left" vertical="distributed" wrapText="1"/>
    </xf>
    <xf numFmtId="4" fontId="22" fillId="0" borderId="3" xfId="0" applyNumberFormat="1" applyFont="1" applyFill="1" applyBorder="1" applyAlignment="1" applyProtection="1">
      <alignment horizontal="right" vertical="center"/>
    </xf>
    <xf numFmtId="0" fontId="23" fillId="3" borderId="1" xfId="0" applyFont="1" applyFill="1" applyBorder="1" applyAlignment="1" applyProtection="1">
      <alignment horizontal="left" vertical="center" wrapText="1"/>
    </xf>
    <xf numFmtId="1" fontId="24" fillId="0" borderId="1" xfId="3" applyNumberFormat="1" applyFont="1" applyFill="1" applyBorder="1" applyAlignment="1" applyProtection="1">
      <alignment horizontal="center" vertical="center" wrapText="1"/>
    </xf>
    <xf numFmtId="0" fontId="23" fillId="3" borderId="1" xfId="0" applyFont="1" applyFill="1" applyBorder="1" applyAlignment="1">
      <alignment horizontal="center" vertical="distributed" wrapText="1"/>
    </xf>
    <xf numFmtId="164" fontId="25" fillId="3" borderId="1" xfId="1" applyNumberFormat="1" applyFont="1" applyFill="1" applyBorder="1" applyAlignment="1" applyProtection="1">
      <alignment horizontal="center" vertical="distributed" wrapText="1"/>
    </xf>
    <xf numFmtId="164" fontId="22" fillId="0" borderId="1" xfId="1" applyNumberFormat="1" applyFont="1" applyFill="1" applyBorder="1" applyAlignment="1" applyProtection="1">
      <alignment horizontal="center" vertical="center"/>
    </xf>
    <xf numFmtId="0" fontId="27" fillId="0" borderId="4" xfId="0" applyFont="1" applyBorder="1" applyAlignment="1">
      <alignment horizontal="center" vertical="distributed" wrapText="1"/>
    </xf>
    <xf numFmtId="164" fontId="25" fillId="0" borderId="1" xfId="1" applyNumberFormat="1" applyFont="1" applyFill="1" applyBorder="1" applyAlignment="1" applyProtection="1">
      <alignment horizontal="center" vertical="distributed" wrapText="1"/>
    </xf>
    <xf numFmtId="0" fontId="28" fillId="0" borderId="1" xfId="0" applyFont="1" applyFill="1" applyBorder="1" applyAlignment="1" applyProtection="1">
      <alignment horizontal="center" vertical="center" wrapText="1"/>
    </xf>
    <xf numFmtId="164" fontId="25" fillId="0" borderId="5" xfId="1" applyNumberFormat="1" applyFont="1" applyFill="1" applyBorder="1" applyAlignment="1" applyProtection="1">
      <alignment horizontal="center" vertical="distributed" wrapText="1"/>
    </xf>
    <xf numFmtId="0" fontId="29" fillId="0" borderId="1" xfId="0" applyFont="1" applyFill="1" applyBorder="1" applyAlignment="1" applyProtection="1">
      <alignment horizontal="center" vertical="center" wrapText="1"/>
    </xf>
    <xf numFmtId="164" fontId="25" fillId="0" borderId="1" xfId="1" applyNumberFormat="1" applyFont="1" applyFill="1" applyBorder="1" applyAlignment="1" applyProtection="1">
      <alignment horizontal="center" vertical="center" wrapText="1"/>
    </xf>
    <xf numFmtId="0" fontId="18" fillId="0" borderId="1" xfId="4" applyFont="1" applyFill="1" applyBorder="1" applyAlignment="1">
      <alignment vertical="distributed" wrapText="1"/>
    </xf>
    <xf numFmtId="0" fontId="28" fillId="0" borderId="1" xfId="4" applyFont="1" applyFill="1" applyBorder="1" applyAlignment="1">
      <alignment horizontal="center" vertical="top" wrapText="1"/>
    </xf>
    <xf numFmtId="164" fontId="18" fillId="0" borderId="1" xfId="1" applyNumberFormat="1" applyFont="1" applyFill="1" applyBorder="1" applyAlignment="1" applyProtection="1">
      <alignment vertical="distributed" wrapText="1"/>
    </xf>
    <xf numFmtId="4" fontId="22" fillId="4" borderId="4" xfId="0" applyNumberFormat="1" applyFont="1" applyFill="1" applyBorder="1" applyAlignment="1" applyProtection="1">
      <alignment horizontal="right" vertical="center"/>
    </xf>
    <xf numFmtId="164" fontId="30" fillId="0" borderId="1" xfId="1" applyNumberFormat="1" applyFont="1" applyFill="1" applyBorder="1" applyAlignment="1" applyProtection="1">
      <alignment horizontal="center" vertical="center"/>
    </xf>
    <xf numFmtId="164" fontId="30" fillId="0" borderId="9" xfId="0" applyNumberFormat="1" applyFont="1" applyFill="1" applyBorder="1" applyAlignment="1" applyProtection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164" fontId="25" fillId="0" borderId="1" xfId="1" applyNumberFormat="1" applyFont="1" applyFill="1" applyBorder="1" applyAlignment="1" applyProtection="1">
      <alignment horizontal="center" vertical="center"/>
    </xf>
    <xf numFmtId="4" fontId="22" fillId="0" borderId="1" xfId="0" applyNumberFormat="1" applyFont="1" applyFill="1" applyBorder="1" applyAlignment="1" applyProtection="1">
      <alignment horizontal="right" vertical="center"/>
    </xf>
    <xf numFmtId="0" fontId="31" fillId="0" borderId="1" xfId="0" applyFont="1" applyFill="1" applyBorder="1" applyAlignment="1" applyProtection="1">
      <alignment horizontal="center" vertical="center" wrapText="1"/>
    </xf>
    <xf numFmtId="0" fontId="23" fillId="0" borderId="1" xfId="0" applyFont="1" applyFill="1" applyBorder="1" applyAlignment="1" applyProtection="1">
      <alignment horizontal="center" vertical="center" wrapText="1"/>
    </xf>
    <xf numFmtId="4" fontId="23" fillId="4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64" fontId="25" fillId="0" borderId="1" xfId="1" applyNumberFormat="1" applyFont="1" applyFill="1" applyBorder="1" applyAlignment="1" applyProtection="1">
      <alignment vertical="center"/>
    </xf>
    <xf numFmtId="4" fontId="26" fillId="0" borderId="6" xfId="2" applyNumberFormat="1" applyFont="1" applyFill="1" applyBorder="1" applyAlignment="1" applyProtection="1">
      <alignment horizontal="left" vertical="distributed" wrapText="1"/>
    </xf>
    <xf numFmtId="0" fontId="32" fillId="0" borderId="1" xfId="0" applyFont="1" applyFill="1" applyBorder="1" applyAlignment="1" applyProtection="1">
      <alignment horizontal="center" vertical="center" wrapText="1"/>
    </xf>
    <xf numFmtId="4" fontId="25" fillId="0" borderId="1" xfId="1" applyNumberFormat="1" applyFont="1" applyFill="1" applyBorder="1" applyAlignment="1" applyProtection="1">
      <alignment horizontal="center" vertical="center" wrapText="1"/>
    </xf>
    <xf numFmtId="4" fontId="18" fillId="0" borderId="1" xfId="1" applyNumberFormat="1" applyFont="1" applyFill="1" applyBorder="1" applyAlignment="1" applyProtection="1">
      <alignment horizontal="center" vertical="center"/>
    </xf>
    <xf numFmtId="0" fontId="33" fillId="0" borderId="1" xfId="0" applyFont="1" applyFill="1" applyBorder="1" applyAlignment="1" applyProtection="1">
      <alignment horizontal="left" vertical="center" wrapText="1"/>
    </xf>
    <xf numFmtId="164" fontId="18" fillId="0" borderId="1" xfId="1" applyNumberFormat="1" applyFont="1" applyFill="1" applyBorder="1" applyAlignment="1" applyProtection="1">
      <alignment horizontal="right" vertical="center"/>
    </xf>
    <xf numFmtId="164" fontId="23" fillId="0" borderId="1" xfId="0" applyNumberFormat="1" applyFont="1" applyBorder="1" applyAlignment="1">
      <alignment horizontal="center" vertical="center" wrapText="1"/>
    </xf>
    <xf numFmtId="0" fontId="18" fillId="0" borderId="1" xfId="5" applyFont="1" applyFill="1" applyBorder="1" applyAlignment="1">
      <alignment vertical="distributed" wrapText="1"/>
    </xf>
    <xf numFmtId="4" fontId="25" fillId="0" borderId="1" xfId="5" applyNumberFormat="1" applyFont="1" applyFill="1" applyBorder="1" applyAlignment="1">
      <alignment horizontal="center" vertical="distributed" wrapText="1"/>
    </xf>
    <xf numFmtId="4" fontId="22" fillId="4" borderId="1" xfId="0" applyNumberFormat="1" applyFont="1" applyFill="1" applyBorder="1" applyAlignment="1" applyProtection="1">
      <alignment horizontal="right" vertical="center"/>
    </xf>
    <xf numFmtId="0" fontId="23" fillId="0" borderId="1" xfId="0" applyFont="1" applyFill="1" applyBorder="1" applyAlignment="1">
      <alignment wrapText="1"/>
    </xf>
    <xf numFmtId="0" fontId="22" fillId="0" borderId="1" xfId="0" applyFont="1" applyBorder="1" applyAlignment="1">
      <alignment vertical="distributed" wrapText="1"/>
    </xf>
    <xf numFmtId="0" fontId="23" fillId="0" borderId="2" xfId="0" applyFont="1" applyFill="1" applyBorder="1" applyAlignment="1" applyProtection="1">
      <alignment horizontal="left" vertical="center" wrapText="1"/>
    </xf>
    <xf numFmtId="0" fontId="23" fillId="0" borderId="18" xfId="0" applyFont="1" applyFill="1" applyBorder="1" applyAlignment="1" applyProtection="1">
      <alignment horizontal="center" vertical="center" wrapText="1"/>
    </xf>
    <xf numFmtId="164" fontId="18" fillId="0" borderId="18" xfId="1" applyNumberFormat="1" applyFont="1" applyFill="1" applyBorder="1" applyAlignment="1" applyProtection="1">
      <alignment horizontal="center" vertical="center"/>
    </xf>
    <xf numFmtId="0" fontId="22" fillId="0" borderId="18" xfId="0" applyFont="1" applyBorder="1" applyAlignment="1">
      <alignment vertical="distributed" wrapText="1"/>
    </xf>
    <xf numFmtId="4" fontId="26" fillId="0" borderId="18" xfId="2" applyNumberFormat="1" applyFont="1" applyFill="1" applyBorder="1" applyAlignment="1" applyProtection="1">
      <alignment horizontal="left" vertical="distributed" wrapText="1"/>
    </xf>
    <xf numFmtId="0" fontId="23" fillId="0" borderId="17" xfId="0" applyFont="1" applyFill="1" applyBorder="1" applyAlignment="1" applyProtection="1">
      <alignment horizontal="left" vertical="center" wrapText="1"/>
    </xf>
    <xf numFmtId="0" fontId="24" fillId="0" borderId="19" xfId="0" applyFont="1" applyFill="1" applyBorder="1" applyAlignment="1" applyProtection="1">
      <alignment horizontal="center" vertical="center" wrapText="1"/>
    </xf>
    <xf numFmtId="0" fontId="22" fillId="0" borderId="19" xfId="0" applyFont="1" applyFill="1" applyBorder="1" applyAlignment="1" applyProtection="1">
      <alignment horizontal="center" vertical="center" wrapText="1"/>
    </xf>
    <xf numFmtId="4" fontId="25" fillId="0" borderId="0" xfId="0" applyNumberFormat="1" applyFont="1" applyFill="1" applyBorder="1" applyAlignment="1" applyProtection="1">
      <alignment horizontal="center" vertical="center"/>
    </xf>
    <xf numFmtId="164" fontId="18" fillId="0" borderId="23" xfId="1" applyNumberFormat="1" applyFont="1" applyFill="1" applyBorder="1" applyAlignment="1" applyProtection="1">
      <alignment horizontal="center" vertical="center"/>
    </xf>
    <xf numFmtId="0" fontId="22" fillId="0" borderId="19" xfId="0" applyFont="1" applyBorder="1" applyAlignment="1">
      <alignment vertical="distributed" wrapText="1"/>
    </xf>
    <xf numFmtId="0" fontId="24" fillId="0" borderId="2" xfId="0" applyFont="1" applyFill="1" applyBorder="1" applyAlignment="1" applyProtection="1">
      <alignment horizontal="center" vertical="center" wrapText="1"/>
    </xf>
    <xf numFmtId="0" fontId="22" fillId="0" borderId="2" xfId="0" applyFont="1" applyFill="1" applyBorder="1" applyAlignment="1" applyProtection="1">
      <alignment horizontal="center" vertical="center" wrapText="1"/>
    </xf>
    <xf numFmtId="4" fontId="25" fillId="0" borderId="18" xfId="0" applyNumberFormat="1" applyFont="1" applyFill="1" applyBorder="1" applyAlignment="1" applyProtection="1">
      <alignment horizontal="center" vertical="center"/>
    </xf>
    <xf numFmtId="4" fontId="26" fillId="0" borderId="18" xfId="2" applyNumberFormat="1" applyFont="1" applyFill="1" applyBorder="1" applyAlignment="1" applyProtection="1">
      <alignment horizontal="center" vertical="center" wrapText="1"/>
    </xf>
    <xf numFmtId="164" fontId="18" fillId="0" borderId="2" xfId="1" applyNumberFormat="1" applyFont="1" applyFill="1" applyBorder="1" applyAlignment="1" applyProtection="1">
      <alignment horizontal="center" vertical="center"/>
    </xf>
    <xf numFmtId="0" fontId="23" fillId="0" borderId="20" xfId="0" applyFont="1" applyFill="1" applyBorder="1" applyAlignment="1" applyProtection="1">
      <alignment horizontal="left" vertical="center" wrapText="1"/>
    </xf>
    <xf numFmtId="0" fontId="24" fillId="0" borderId="18" xfId="0" applyFont="1" applyFill="1" applyBorder="1" applyAlignment="1" applyProtection="1">
      <alignment horizontal="center" vertical="center" wrapText="1"/>
    </xf>
    <xf numFmtId="0" fontId="22" fillId="0" borderId="18" xfId="0" applyFont="1" applyFill="1" applyBorder="1" applyAlignment="1" applyProtection="1">
      <alignment horizontal="center" vertical="center" wrapText="1"/>
    </xf>
    <xf numFmtId="4" fontId="25" fillId="0" borderId="21" xfId="0" applyNumberFormat="1" applyFont="1" applyFill="1" applyBorder="1" applyAlignment="1" applyProtection="1">
      <alignment horizontal="center" vertical="center"/>
    </xf>
    <xf numFmtId="164" fontId="18" fillId="0" borderId="21" xfId="1" applyNumberFormat="1" applyFont="1" applyFill="1" applyBorder="1" applyAlignment="1" applyProtection="1">
      <alignment horizontal="center" vertical="center"/>
    </xf>
    <xf numFmtId="4" fontId="26" fillId="0" borderId="21" xfId="2" applyNumberFormat="1" applyFont="1" applyFill="1" applyBorder="1" applyAlignment="1" applyProtection="1">
      <alignment horizontal="center" vertical="center" wrapText="1"/>
    </xf>
    <xf numFmtId="4" fontId="26" fillId="0" borderId="22" xfId="2" applyNumberFormat="1" applyFont="1" applyFill="1" applyBorder="1" applyAlignment="1" applyProtection="1">
      <alignment horizontal="left" vertical="distributed" wrapText="1"/>
    </xf>
    <xf numFmtId="0" fontId="23" fillId="0" borderId="8" xfId="0" applyFont="1" applyFill="1" applyBorder="1" applyAlignment="1" applyProtection="1">
      <alignment horizontal="left" vertical="center" wrapText="1"/>
    </xf>
    <xf numFmtId="0" fontId="23" fillId="0" borderId="0" xfId="0" applyFont="1" applyFill="1" applyBorder="1" applyAlignment="1" applyProtection="1">
      <alignment horizontal="center" vertical="center" wrapText="1"/>
    </xf>
    <xf numFmtId="164" fontId="18" fillId="0" borderId="0" xfId="1" applyNumberFormat="1" applyFont="1" applyFill="1" applyBorder="1" applyAlignment="1" applyProtection="1">
      <alignment horizontal="center" vertical="center"/>
    </xf>
    <xf numFmtId="0" fontId="22" fillId="0" borderId="7" xfId="0" applyFont="1" applyBorder="1" applyAlignment="1">
      <alignment vertical="distributed" wrapText="1"/>
    </xf>
    <xf numFmtId="164" fontId="22" fillId="0" borderId="5" xfId="0" applyNumberFormat="1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8" xfId="0" applyFont="1" applyFill="1" applyBorder="1" applyAlignment="1" applyProtection="1">
      <alignment horizontal="left" vertical="distributed" wrapText="1"/>
    </xf>
    <xf numFmtId="0" fontId="18" fillId="0" borderId="8" xfId="0" applyFont="1" applyFill="1" applyBorder="1" applyAlignment="1" applyProtection="1">
      <alignment horizontal="center" vertical="center"/>
    </xf>
    <xf numFmtId="4" fontId="18" fillId="0" borderId="8" xfId="1" applyNumberFormat="1" applyFont="1" applyFill="1" applyBorder="1" applyAlignment="1" applyProtection="1">
      <alignment horizontal="center" vertical="center"/>
    </xf>
    <xf numFmtId="4" fontId="26" fillId="0" borderId="7" xfId="2" applyNumberFormat="1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left" vertical="distributed" wrapText="1"/>
    </xf>
    <xf numFmtId="0" fontId="18" fillId="0" borderId="5" xfId="0" applyFont="1" applyFill="1" applyBorder="1" applyAlignment="1" applyProtection="1">
      <alignment horizontal="left" vertical="center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5" xfId="0" applyFont="1" applyFill="1" applyBorder="1" applyAlignment="1" applyProtection="1">
      <alignment horizontal="center" vertical="center"/>
    </xf>
    <xf numFmtId="4" fontId="18" fillId="0" borderId="5" xfId="1" applyNumberFormat="1" applyFont="1" applyFill="1" applyBorder="1" applyAlignment="1" applyProtection="1">
      <alignment horizontal="center" vertical="center"/>
    </xf>
    <xf numFmtId="0" fontId="21" fillId="0" borderId="26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distributed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164" fontId="18" fillId="0" borderId="9" xfId="0" applyNumberFormat="1" applyFont="1" applyFill="1" applyBorder="1" applyAlignment="1" applyProtection="1">
      <alignment horizontal="center" vertical="center"/>
    </xf>
    <xf numFmtId="2" fontId="18" fillId="0" borderId="1" xfId="0" applyNumberFormat="1" applyFont="1" applyBorder="1" applyAlignment="1">
      <alignment horizontal="center"/>
    </xf>
    <xf numFmtId="4" fontId="34" fillId="0" borderId="1" xfId="0" applyNumberFormat="1" applyFont="1" applyFill="1" applyBorder="1" applyAlignment="1" applyProtection="1">
      <alignment horizontal="center" vertical="center"/>
    </xf>
    <xf numFmtId="4" fontId="22" fillId="0" borderId="1" xfId="0" applyNumberFormat="1" applyFont="1" applyFill="1" applyBorder="1" applyAlignment="1" applyProtection="1">
      <alignment horizontal="left" vertical="distributed" wrapText="1"/>
    </xf>
    <xf numFmtId="164" fontId="34" fillId="0" borderId="1" xfId="0" applyNumberFormat="1" applyFont="1" applyFill="1" applyBorder="1" applyAlignment="1" applyProtection="1">
      <alignment horizontal="center" vertical="center"/>
    </xf>
    <xf numFmtId="0" fontId="21" fillId="0" borderId="27" xfId="0" applyFont="1" applyFill="1" applyBorder="1" applyAlignment="1" applyProtection="1">
      <alignment horizontal="center" vertical="center"/>
    </xf>
    <xf numFmtId="4" fontId="35" fillId="0" borderId="2" xfId="0" applyNumberFormat="1" applyFont="1" applyFill="1" applyBorder="1" applyAlignment="1" applyProtection="1">
      <alignment horizontal="center" vertical="center"/>
    </xf>
    <xf numFmtId="4" fontId="22" fillId="0" borderId="2" xfId="0" applyNumberFormat="1" applyFont="1" applyFill="1" applyBorder="1" applyAlignment="1" applyProtection="1">
      <alignment horizontal="left" vertical="distributed" wrapText="1"/>
    </xf>
    <xf numFmtId="164" fontId="35" fillId="0" borderId="2" xfId="0" applyNumberFormat="1" applyFont="1" applyFill="1" applyBorder="1" applyAlignment="1" applyProtection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18" fillId="0" borderId="28" xfId="0" applyFont="1" applyFill="1" applyBorder="1" applyAlignment="1" applyProtection="1">
      <alignment horizontal="center" vertical="center"/>
    </xf>
    <xf numFmtId="4" fontId="35" fillId="0" borderId="29" xfId="0" applyNumberFormat="1" applyFont="1" applyFill="1" applyBorder="1" applyAlignment="1" applyProtection="1">
      <alignment horizontal="center" vertical="center"/>
    </xf>
    <xf numFmtId="4" fontId="22" fillId="0" borderId="29" xfId="0" applyNumberFormat="1" applyFont="1" applyFill="1" applyBorder="1" applyAlignment="1" applyProtection="1">
      <alignment horizontal="left" vertical="distributed" wrapText="1"/>
    </xf>
    <xf numFmtId="4" fontId="22" fillId="0" borderId="30" xfId="0" applyNumberFormat="1" applyFont="1" applyFill="1" applyBorder="1" applyAlignment="1" applyProtection="1">
      <alignment horizontal="right" vertical="center"/>
    </xf>
    <xf numFmtId="164" fontId="35" fillId="0" borderId="29" xfId="0" applyNumberFormat="1" applyFont="1" applyFill="1" applyBorder="1" applyAlignment="1" applyProtection="1">
      <alignment horizontal="center" vertical="center"/>
    </xf>
    <xf numFmtId="164" fontId="22" fillId="0" borderId="16" xfId="0" applyNumberFormat="1" applyFont="1" applyFill="1" applyBorder="1" applyAlignment="1" applyProtection="1">
      <alignment horizontal="center" vertical="center"/>
    </xf>
    <xf numFmtId="0" fontId="18" fillId="0" borderId="2" xfId="0" applyFont="1" applyFill="1" applyBorder="1" applyAlignment="1" applyProtection="1">
      <alignment horizontal="left" vertical="distributed" wrapText="1"/>
    </xf>
    <xf numFmtId="0" fontId="19" fillId="0" borderId="2" xfId="0" applyFont="1" applyFill="1" applyBorder="1" applyAlignment="1" applyProtection="1">
      <alignment horizontal="left" vertical="center" wrapText="1"/>
    </xf>
    <xf numFmtId="0" fontId="23" fillId="0" borderId="29" xfId="0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Border="1"/>
    <xf numFmtId="0" fontId="19" fillId="0" borderId="13" xfId="0" applyFont="1" applyFill="1" applyBorder="1" applyAlignment="1" applyProtection="1">
      <alignment horizontal="center" vertical="center" wrapText="1"/>
    </xf>
    <xf numFmtId="0" fontId="19" fillId="0" borderId="25" xfId="0" applyFont="1" applyFill="1" applyBorder="1" applyAlignment="1" applyProtection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20" fillId="2" borderId="17" xfId="0" applyFont="1" applyFill="1" applyBorder="1" applyAlignment="1" applyProtection="1">
      <alignment horizontal="center" vertical="center"/>
    </xf>
    <xf numFmtId="0" fontId="20" fillId="2" borderId="0" xfId="0" applyFont="1" applyFill="1" applyBorder="1" applyAlignment="1" applyProtection="1">
      <alignment horizontal="center" vertical="center"/>
    </xf>
    <xf numFmtId="0" fontId="20" fillId="2" borderId="15" xfId="0" applyFont="1" applyFill="1" applyBorder="1" applyAlignment="1" applyProtection="1">
      <alignment horizontal="center" vertical="center"/>
    </xf>
    <xf numFmtId="0" fontId="21" fillId="0" borderId="11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 applyProtection="1">
      <alignment horizontal="center" vertical="center" wrapText="1"/>
    </xf>
    <xf numFmtId="0" fontId="23" fillId="0" borderId="5" xfId="0" applyFont="1" applyFill="1" applyBorder="1" applyAlignment="1" applyProtection="1">
      <alignment horizontal="left"/>
    </xf>
    <xf numFmtId="0" fontId="23" fillId="0" borderId="1" xfId="0" applyFont="1" applyFill="1" applyBorder="1" applyAlignment="1" applyProtection="1">
      <alignment horizontal="left"/>
    </xf>
    <xf numFmtId="0" fontId="23" fillId="0" borderId="5" xfId="0" applyFont="1" applyFill="1" applyBorder="1" applyAlignment="1" applyProtection="1">
      <alignment horizontal="left" vertical="center" wrapText="1"/>
    </xf>
    <xf numFmtId="0" fontId="23" fillId="0" borderId="1" xfId="0" applyFont="1" applyFill="1" applyBorder="1" applyAlignment="1" applyProtection="1">
      <alignment horizontal="center" vertical="center" wrapText="1"/>
    </xf>
  </cellXfs>
  <cellStyles count="6">
    <cellStyle name="Гиперссылка" xfId="2" builtinId="8"/>
    <cellStyle name="Обычный" xfId="0" builtinId="0"/>
    <cellStyle name="Обычный 2" xfId="3"/>
    <cellStyle name="Обычный_Калькуляция №11 Проверка индивидуальных приборов учета" xfId="4"/>
    <cellStyle name="Обычный_Калькуляция Проверка наличия тяги в дымовентилиционных каналах" xfId="5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topLeftCell="A46" zoomScale="60" zoomScaleNormal="70" workbookViewId="0">
      <selection activeCell="B72" sqref="B72"/>
    </sheetView>
  </sheetViews>
  <sheetFormatPr defaultRowHeight="15"/>
  <cols>
    <col min="1" max="1" width="5.85546875" customWidth="1"/>
    <col min="2" max="2" width="128.7109375" customWidth="1"/>
    <col min="3" max="3" width="0.140625" customWidth="1"/>
    <col min="4" max="4" width="13.28515625" hidden="1" customWidth="1"/>
    <col min="5" max="5" width="13" hidden="1" customWidth="1"/>
    <col min="6" max="6" width="13.28515625" hidden="1" customWidth="1"/>
    <col min="7" max="7" width="25.140625" hidden="1" customWidth="1"/>
    <col min="8" max="8" width="9.140625" hidden="1" customWidth="1"/>
    <col min="9" max="9" width="0.28515625" customWidth="1"/>
    <col min="10" max="10" width="9.85546875" hidden="1" customWidth="1"/>
    <col min="11" max="11" width="0.85546875" hidden="1" customWidth="1"/>
    <col min="12" max="12" width="5.140625" hidden="1" customWidth="1"/>
    <col min="13" max="13" width="14.85546875" hidden="1" customWidth="1"/>
    <col min="14" max="14" width="26.5703125" customWidth="1"/>
    <col min="15" max="15" width="0.140625" hidden="1" customWidth="1"/>
    <col min="16" max="16" width="29.85546875" hidden="1" customWidth="1"/>
    <col min="17" max="17" width="29.5703125" hidden="1" customWidth="1"/>
    <col min="18" max="18" width="1.85546875" customWidth="1"/>
    <col min="19" max="19" width="3.5703125" customWidth="1"/>
  </cols>
  <sheetData>
    <row r="1" spans="1:22" ht="48.75" customHeight="1">
      <c r="A1" s="172" t="s">
        <v>79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4"/>
    </row>
    <row r="2" spans="1:22" ht="32.25" customHeight="1">
      <c r="A2" s="47" t="s">
        <v>0</v>
      </c>
      <c r="B2" s="175" t="s">
        <v>1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</row>
    <row r="3" spans="1:22" ht="21" customHeight="1">
      <c r="A3" s="178" t="s">
        <v>2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80"/>
      <c r="O3" s="13"/>
      <c r="P3" s="13" t="s">
        <v>70</v>
      </c>
    </row>
    <row r="4" spans="1:22" ht="36" customHeight="1">
      <c r="A4" s="48">
        <v>1</v>
      </c>
      <c r="B4" s="14" t="s">
        <v>75</v>
      </c>
      <c r="C4" s="49"/>
      <c r="D4" s="49"/>
      <c r="E4" s="49"/>
      <c r="F4" s="49"/>
      <c r="G4" s="49"/>
      <c r="H4" s="49"/>
      <c r="I4" s="49"/>
      <c r="J4" s="49"/>
      <c r="K4" s="50"/>
      <c r="L4" s="50"/>
      <c r="M4" s="50"/>
      <c r="N4" s="51">
        <v>1201707.97</v>
      </c>
      <c r="O4" s="13"/>
      <c r="P4" s="13"/>
    </row>
    <row r="5" spans="1:22" ht="32.25" customHeight="1">
      <c r="A5" s="48">
        <v>2</v>
      </c>
      <c r="B5" s="14" t="s">
        <v>76</v>
      </c>
      <c r="C5" s="49"/>
      <c r="D5" s="49"/>
      <c r="E5" s="49"/>
      <c r="F5" s="49"/>
      <c r="G5" s="49"/>
      <c r="H5" s="49"/>
      <c r="I5" s="49"/>
      <c r="J5" s="49"/>
      <c r="K5" s="50"/>
      <c r="L5" s="50"/>
      <c r="M5" s="50"/>
      <c r="N5" s="51">
        <v>1232700.45</v>
      </c>
      <c r="O5" s="13"/>
      <c r="P5" s="13"/>
    </row>
    <row r="6" spans="1:22" ht="24.75" customHeight="1">
      <c r="A6" s="48">
        <v>3</v>
      </c>
      <c r="B6" s="14" t="s">
        <v>77</v>
      </c>
      <c r="C6" s="49"/>
      <c r="D6" s="49"/>
      <c r="E6" s="49"/>
      <c r="F6" s="49"/>
      <c r="G6" s="49"/>
      <c r="H6" s="49"/>
      <c r="I6" s="49"/>
      <c r="J6" s="49"/>
      <c r="K6" s="50"/>
      <c r="L6" s="50"/>
      <c r="M6" s="50"/>
      <c r="N6" s="51">
        <v>129287</v>
      </c>
      <c r="O6" s="13"/>
      <c r="P6" s="13"/>
    </row>
    <row r="7" spans="1:22" ht="28.5" customHeight="1">
      <c r="A7" s="48">
        <v>4</v>
      </c>
      <c r="B7" s="14" t="s">
        <v>78</v>
      </c>
      <c r="C7" s="49"/>
      <c r="D7" s="49"/>
      <c r="E7" s="49"/>
      <c r="F7" s="49"/>
      <c r="G7" s="49"/>
      <c r="H7" s="49"/>
      <c r="I7" s="49"/>
      <c r="J7" s="49"/>
      <c r="K7" s="50"/>
      <c r="L7" s="50"/>
      <c r="M7" s="50"/>
      <c r="N7" s="52">
        <f>SUM(N8:N45)</f>
        <v>1159682.7970341197</v>
      </c>
      <c r="O7" s="13"/>
      <c r="P7" s="13"/>
    </row>
    <row r="8" spans="1:22" ht="47.25" customHeight="1">
      <c r="A8" s="48">
        <v>5</v>
      </c>
      <c r="B8" s="53" t="s">
        <v>3</v>
      </c>
      <c r="C8" s="53" t="s">
        <v>4</v>
      </c>
      <c r="D8" s="54">
        <v>4.8177000000000003</v>
      </c>
      <c r="E8" s="55">
        <v>2</v>
      </c>
      <c r="F8" s="56">
        <v>101.73</v>
      </c>
      <c r="G8" s="57">
        <f t="shared" ref="G8:G19" si="0">D8*E8*F8</f>
        <v>980.20924200000013</v>
      </c>
      <c r="H8" s="58" t="s">
        <v>5</v>
      </c>
      <c r="I8" s="59" t="s">
        <v>6</v>
      </c>
      <c r="J8" s="60">
        <f t="shared" ref="J8:J46" si="1">G8/12/4817.7</f>
        <v>1.6955000000000001E-2</v>
      </c>
      <c r="K8" s="61">
        <f>G8/2*0</f>
        <v>0</v>
      </c>
      <c r="L8" s="62"/>
      <c r="M8" s="63"/>
      <c r="N8" s="63">
        <f>996.88</f>
        <v>996.88</v>
      </c>
      <c r="O8" s="32">
        <v>9.4</v>
      </c>
      <c r="P8" s="8">
        <f>498.44*2</f>
        <v>996.88</v>
      </c>
      <c r="U8" s="6"/>
      <c r="V8" s="6"/>
    </row>
    <row r="9" spans="1:22" ht="67.5" customHeight="1">
      <c r="A9" s="48">
        <v>6</v>
      </c>
      <c r="B9" s="64" t="s">
        <v>7</v>
      </c>
      <c r="C9" s="64" t="s">
        <v>4</v>
      </c>
      <c r="D9" s="65">
        <v>4.8177000000000003</v>
      </c>
      <c r="E9" s="66">
        <v>2</v>
      </c>
      <c r="F9" s="67">
        <v>771.46</v>
      </c>
      <c r="G9" s="61">
        <f t="shared" si="0"/>
        <v>7433.3256840000013</v>
      </c>
      <c r="H9" s="68" t="s">
        <v>8</v>
      </c>
      <c r="I9" s="69" t="s">
        <v>8</v>
      </c>
      <c r="J9" s="70">
        <f t="shared" si="1"/>
        <v>0.1285766666666667</v>
      </c>
      <c r="K9" s="61">
        <f t="shared" ref="K9:K12" si="2">G9/2*0</f>
        <v>0</v>
      </c>
      <c r="L9" s="62"/>
      <c r="M9" s="63"/>
      <c r="N9" s="63">
        <f>7559.16</f>
        <v>7559.16</v>
      </c>
      <c r="O9" s="32">
        <v>9.4</v>
      </c>
      <c r="P9" s="8">
        <f>2*3779.58</f>
        <v>7559.16</v>
      </c>
      <c r="U9" s="6"/>
      <c r="V9" s="6"/>
    </row>
    <row r="10" spans="1:22" ht="60.75" customHeight="1">
      <c r="A10" s="48">
        <v>7</v>
      </c>
      <c r="B10" s="64" t="s">
        <v>9</v>
      </c>
      <c r="C10" s="64" t="s">
        <v>4</v>
      </c>
      <c r="D10" s="65">
        <v>4.8177000000000003</v>
      </c>
      <c r="E10" s="66">
        <v>1</v>
      </c>
      <c r="F10" s="67">
        <v>780.68</v>
      </c>
      <c r="G10" s="61">
        <f t="shared" si="0"/>
        <v>3761.0820359999998</v>
      </c>
      <c r="H10" s="68"/>
      <c r="I10" s="69" t="s">
        <v>10</v>
      </c>
      <c r="J10" s="70">
        <f t="shared" si="1"/>
        <v>6.5056666666666665E-2</v>
      </c>
      <c r="K10" s="61">
        <f t="shared" si="2"/>
        <v>0</v>
      </c>
      <c r="L10" s="62"/>
      <c r="M10" s="63"/>
      <c r="N10" s="63">
        <f>7649.84</f>
        <v>7649.84</v>
      </c>
      <c r="O10" s="32">
        <v>9.4</v>
      </c>
      <c r="P10" s="8">
        <f>2*3824.92</f>
        <v>7649.84</v>
      </c>
      <c r="U10" s="6"/>
      <c r="V10" s="6"/>
    </row>
    <row r="11" spans="1:22" ht="70.5" customHeight="1">
      <c r="A11" s="48">
        <v>8</v>
      </c>
      <c r="B11" s="64" t="s">
        <v>11</v>
      </c>
      <c r="C11" s="64" t="s">
        <v>12</v>
      </c>
      <c r="D11" s="65">
        <v>0.94700000000000006</v>
      </c>
      <c r="E11" s="66">
        <v>2</v>
      </c>
      <c r="F11" s="67">
        <v>694.62</v>
      </c>
      <c r="G11" s="61">
        <f t="shared" si="0"/>
        <v>1315.6102800000001</v>
      </c>
      <c r="H11" s="68"/>
      <c r="I11" s="69" t="s">
        <v>13</v>
      </c>
      <c r="J11" s="70">
        <f t="shared" si="1"/>
        <v>2.2756541503206926E-2</v>
      </c>
      <c r="K11" s="61">
        <f t="shared" si="2"/>
        <v>0</v>
      </c>
      <c r="L11" s="62"/>
      <c r="M11" s="63"/>
      <c r="N11" s="63">
        <f>1337.92</f>
        <v>1337.92</v>
      </c>
      <c r="O11" s="32">
        <v>9.4</v>
      </c>
      <c r="P11" s="8">
        <f>2*668.96</f>
        <v>1337.92</v>
      </c>
      <c r="U11" s="6"/>
      <c r="V11" s="6"/>
    </row>
    <row r="12" spans="1:22" ht="60" customHeight="1">
      <c r="A12" s="48">
        <v>9</v>
      </c>
      <c r="B12" s="64" t="s">
        <v>14</v>
      </c>
      <c r="C12" s="64" t="s">
        <v>4</v>
      </c>
      <c r="D12" s="65">
        <v>4.8177000000000003</v>
      </c>
      <c r="E12" s="66">
        <v>2</v>
      </c>
      <c r="F12" s="67">
        <v>992.75</v>
      </c>
      <c r="G12" s="61">
        <f t="shared" si="0"/>
        <v>9565.5433499999999</v>
      </c>
      <c r="H12" s="68"/>
      <c r="I12" s="69" t="s">
        <v>15</v>
      </c>
      <c r="J12" s="70">
        <f t="shared" si="1"/>
        <v>0.16545833333333335</v>
      </c>
      <c r="K12" s="61">
        <f t="shared" si="2"/>
        <v>0</v>
      </c>
      <c r="L12" s="62"/>
      <c r="M12" s="63"/>
      <c r="N12" s="63">
        <f>9727.8</f>
        <v>9727.7999999999993</v>
      </c>
      <c r="O12" s="32">
        <v>9.4</v>
      </c>
      <c r="P12" s="8">
        <f>2*4863.9</f>
        <v>9727.7999999999993</v>
      </c>
      <c r="U12" s="6"/>
      <c r="V12" s="6"/>
    </row>
    <row r="13" spans="1:22" ht="23.25">
      <c r="A13" s="48">
        <v>10</v>
      </c>
      <c r="B13" s="64" t="s">
        <v>16</v>
      </c>
      <c r="C13" s="64"/>
      <c r="D13" s="65"/>
      <c r="E13" s="66"/>
      <c r="F13" s="67"/>
      <c r="G13" s="61"/>
      <c r="H13" s="68"/>
      <c r="I13" s="69"/>
      <c r="J13" s="70"/>
      <c r="K13" s="61"/>
      <c r="L13" s="62"/>
      <c r="M13" s="63"/>
      <c r="N13" s="63">
        <f t="shared" ref="N13:N19" si="3">P13+K13</f>
        <v>0</v>
      </c>
      <c r="O13" s="32"/>
      <c r="P13" s="8"/>
      <c r="U13" s="6"/>
      <c r="V13" s="6"/>
    </row>
    <row r="14" spans="1:22" ht="41.25" customHeight="1">
      <c r="A14" s="48">
        <v>11</v>
      </c>
      <c r="B14" s="71" t="s">
        <v>68</v>
      </c>
      <c r="C14" s="71" t="s">
        <v>17</v>
      </c>
      <c r="D14" s="72">
        <v>2</v>
      </c>
      <c r="E14" s="73">
        <v>2</v>
      </c>
      <c r="F14" s="74">
        <v>298.13</v>
      </c>
      <c r="G14" s="75">
        <f t="shared" si="0"/>
        <v>1192.52</v>
      </c>
      <c r="H14" s="76"/>
      <c r="I14" s="69" t="s">
        <v>18</v>
      </c>
      <c r="J14" s="70">
        <f t="shared" si="1"/>
        <v>2.0627408652814969E-2</v>
      </c>
      <c r="K14" s="61"/>
      <c r="L14" s="62"/>
      <c r="M14" s="63"/>
      <c r="N14" s="63">
        <f t="shared" si="3"/>
        <v>0</v>
      </c>
      <c r="O14" s="33">
        <v>3</v>
      </c>
      <c r="P14" s="8"/>
      <c r="U14" s="7"/>
      <c r="V14" s="6"/>
    </row>
    <row r="15" spans="1:22" ht="68.25" customHeight="1">
      <c r="A15" s="48">
        <v>12</v>
      </c>
      <c r="B15" s="64" t="s">
        <v>19</v>
      </c>
      <c r="C15" s="64" t="s">
        <v>20</v>
      </c>
      <c r="D15" s="65">
        <v>4.8177000000000003</v>
      </c>
      <c r="E15" s="66">
        <v>2</v>
      </c>
      <c r="F15" s="77">
        <v>2483.42</v>
      </c>
      <c r="G15" s="61">
        <f t="shared" si="0"/>
        <v>23928.745068000004</v>
      </c>
      <c r="H15" s="68"/>
      <c r="I15" s="69" t="s">
        <v>21</v>
      </c>
      <c r="J15" s="70">
        <f t="shared" si="1"/>
        <v>0.4139033333333334</v>
      </c>
      <c r="K15" s="61"/>
      <c r="L15" s="62"/>
      <c r="M15" s="63"/>
      <c r="N15" s="63">
        <v>24334.3</v>
      </c>
      <c r="O15" s="32">
        <v>9.4</v>
      </c>
      <c r="P15" s="10"/>
      <c r="U15" s="7"/>
      <c r="V15" s="6"/>
    </row>
    <row r="16" spans="1:22" ht="72" customHeight="1">
      <c r="A16" s="48">
        <v>13</v>
      </c>
      <c r="B16" s="64" t="s">
        <v>22</v>
      </c>
      <c r="C16" s="64" t="s">
        <v>23</v>
      </c>
      <c r="D16" s="78">
        <v>0.79</v>
      </c>
      <c r="E16" s="66">
        <v>2</v>
      </c>
      <c r="F16" s="79">
        <v>14894.4</v>
      </c>
      <c r="G16" s="61">
        <f t="shared" si="0"/>
        <v>23533.152000000002</v>
      </c>
      <c r="H16" s="68"/>
      <c r="I16" s="69" t="s">
        <v>24</v>
      </c>
      <c r="J16" s="70">
        <f t="shared" si="1"/>
        <v>0.40706063059136111</v>
      </c>
      <c r="K16" s="61">
        <v>0</v>
      </c>
      <c r="L16" s="62"/>
      <c r="M16" s="63"/>
      <c r="N16" s="63">
        <f>23931.94</f>
        <v>23931.94</v>
      </c>
      <c r="O16" s="15">
        <v>1.1200000000000001</v>
      </c>
      <c r="P16" s="8">
        <f>15146.8*E16*D16</f>
        <v>23931.944</v>
      </c>
      <c r="V16" s="6"/>
    </row>
    <row r="17" spans="1:22" ht="85.5" customHeight="1">
      <c r="A17" s="48">
        <v>14</v>
      </c>
      <c r="B17" s="64" t="s">
        <v>25</v>
      </c>
      <c r="C17" s="64" t="s">
        <v>26</v>
      </c>
      <c r="D17" s="80">
        <v>1.8</v>
      </c>
      <c r="E17" s="66">
        <v>2</v>
      </c>
      <c r="F17" s="81">
        <v>7985.99</v>
      </c>
      <c r="G17" s="61">
        <f t="shared" si="0"/>
        <v>28749.563999999998</v>
      </c>
      <c r="H17" s="68"/>
      <c r="I17" s="69" t="s">
        <v>27</v>
      </c>
      <c r="J17" s="70">
        <f t="shared" si="1"/>
        <v>0.49729061585403828</v>
      </c>
      <c r="K17" s="61">
        <f>G17/2</f>
        <v>14374.781999999999</v>
      </c>
      <c r="L17" s="62"/>
      <c r="M17" s="63"/>
      <c r="N17" s="63">
        <f t="shared" si="3"/>
        <v>28993.201999999997</v>
      </c>
      <c r="O17" s="32">
        <v>9.4</v>
      </c>
      <c r="P17" s="8">
        <v>14618.42</v>
      </c>
      <c r="V17" s="6"/>
    </row>
    <row r="18" spans="1:22" ht="84.75" customHeight="1">
      <c r="A18" s="48">
        <v>15</v>
      </c>
      <c r="B18" s="82" t="s">
        <v>28</v>
      </c>
      <c r="C18" s="82" t="s">
        <v>29</v>
      </c>
      <c r="D18" s="83">
        <v>79</v>
      </c>
      <c r="E18" s="66">
        <v>1</v>
      </c>
      <c r="F18" s="84">
        <v>154.79</v>
      </c>
      <c r="G18" s="61">
        <f t="shared" si="0"/>
        <v>12228.41</v>
      </c>
      <c r="H18" s="85">
        <f>D18*E18*F18</f>
        <v>12228.41</v>
      </c>
      <c r="I18" s="69" t="s">
        <v>30</v>
      </c>
      <c r="J18" s="70">
        <f t="shared" si="1"/>
        <v>0.21151880911361579</v>
      </c>
      <c r="K18" s="86">
        <f>64*157.41</f>
        <v>10074.24</v>
      </c>
      <c r="L18" s="87"/>
      <c r="M18" s="88"/>
      <c r="N18" s="137">
        <f t="shared" si="3"/>
        <v>22509.629999999997</v>
      </c>
      <c r="O18" s="34">
        <v>6</v>
      </c>
      <c r="P18" s="8">
        <f>157.41*79</f>
        <v>12435.39</v>
      </c>
      <c r="U18" s="6"/>
      <c r="V18" s="6"/>
    </row>
    <row r="19" spans="1:22" ht="111.75" customHeight="1">
      <c r="A19" s="48">
        <v>16</v>
      </c>
      <c r="B19" s="64" t="s">
        <v>31</v>
      </c>
      <c r="C19" s="64" t="s">
        <v>32</v>
      </c>
      <c r="D19" s="66">
        <v>3</v>
      </c>
      <c r="E19" s="66">
        <v>12</v>
      </c>
      <c r="F19" s="89">
        <v>651.59</v>
      </c>
      <c r="G19" s="61">
        <f t="shared" si="0"/>
        <v>23457.24</v>
      </c>
      <c r="H19" s="90">
        <f>D19*E19*F19</f>
        <v>23457.24</v>
      </c>
      <c r="I19" s="58" t="s">
        <v>33</v>
      </c>
      <c r="J19" s="70">
        <f t="shared" si="1"/>
        <v>0.40574755588766431</v>
      </c>
      <c r="K19" s="61">
        <v>0</v>
      </c>
      <c r="L19" s="62"/>
      <c r="M19" s="63"/>
      <c r="N19" s="63">
        <f t="shared" si="3"/>
        <v>19879</v>
      </c>
      <c r="O19" s="32" t="s">
        <v>72</v>
      </c>
      <c r="P19" s="8">
        <f>1987.9*10</f>
        <v>19879</v>
      </c>
      <c r="U19" s="6"/>
    </row>
    <row r="20" spans="1:22" ht="52.5" customHeight="1">
      <c r="A20" s="48">
        <v>18</v>
      </c>
      <c r="B20" s="64" t="s">
        <v>34</v>
      </c>
      <c r="C20" s="64" t="s">
        <v>35</v>
      </c>
      <c r="D20" s="91">
        <v>2</v>
      </c>
      <c r="E20" s="92">
        <v>1</v>
      </c>
      <c r="F20" s="89">
        <v>6013.92</v>
      </c>
      <c r="G20" s="75">
        <f t="shared" ref="G20:G27" si="4">D20*E20*F20</f>
        <v>12027.84</v>
      </c>
      <c r="H20" s="93">
        <f>D20*E20*F20</f>
        <v>12027.84</v>
      </c>
      <c r="I20" s="69" t="s">
        <v>36</v>
      </c>
      <c r="J20" s="70">
        <f t="shared" si="1"/>
        <v>0.20804948419370239</v>
      </c>
      <c r="K20" s="75"/>
      <c r="L20" s="62"/>
      <c r="M20" s="63"/>
      <c r="N20" s="63">
        <f>P21+K20</f>
        <v>12231.64</v>
      </c>
      <c r="O20" s="32"/>
      <c r="P20" s="8"/>
      <c r="U20" s="6"/>
    </row>
    <row r="21" spans="1:22" ht="56.25" customHeight="1">
      <c r="A21" s="48">
        <v>19</v>
      </c>
      <c r="B21" s="94" t="s">
        <v>37</v>
      </c>
      <c r="C21" s="64" t="s">
        <v>38</v>
      </c>
      <c r="D21" s="78">
        <v>0.5</v>
      </c>
      <c r="E21" s="95">
        <v>2</v>
      </c>
      <c r="F21" s="81">
        <v>1254.01</v>
      </c>
      <c r="G21" s="75">
        <f t="shared" si="4"/>
        <v>1254.01</v>
      </c>
      <c r="H21" s="69"/>
      <c r="I21" s="69" t="s">
        <v>39</v>
      </c>
      <c r="J21" s="70">
        <f t="shared" si="1"/>
        <v>2.1691021303388201E-2</v>
      </c>
      <c r="K21" s="61"/>
      <c r="L21" s="62"/>
      <c r="M21" s="63"/>
      <c r="N21" s="63">
        <f>P22+K21</f>
        <v>127.5</v>
      </c>
      <c r="O21" s="32">
        <v>7</v>
      </c>
      <c r="P21" s="8">
        <f>6115.82*2</f>
        <v>12231.64</v>
      </c>
      <c r="U21" s="7"/>
      <c r="V21" s="6"/>
    </row>
    <row r="22" spans="1:22" ht="70.5" customHeight="1">
      <c r="A22" s="48">
        <v>20</v>
      </c>
      <c r="B22" s="94" t="s">
        <v>40</v>
      </c>
      <c r="C22" s="64"/>
      <c r="D22" s="78">
        <v>4.8177000000000003</v>
      </c>
      <c r="E22" s="95">
        <v>1</v>
      </c>
      <c r="F22" s="81">
        <v>2031.67</v>
      </c>
      <c r="G22" s="75">
        <f t="shared" si="4"/>
        <v>9787.9765590000006</v>
      </c>
      <c r="H22" s="58"/>
      <c r="I22" s="58"/>
      <c r="J22" s="70">
        <f t="shared" si="1"/>
        <v>0.16930583333333335</v>
      </c>
      <c r="K22" s="61">
        <v>0</v>
      </c>
      <c r="L22" s="62"/>
      <c r="M22" s="63"/>
      <c r="N22" s="137">
        <v>7465.32</v>
      </c>
      <c r="O22" s="32">
        <v>2</v>
      </c>
      <c r="P22" s="8">
        <v>127.5</v>
      </c>
      <c r="U22" s="6"/>
      <c r="V22" s="6"/>
    </row>
    <row r="23" spans="1:22" ht="57.75" customHeight="1">
      <c r="A23" s="48">
        <v>21</v>
      </c>
      <c r="B23" s="94" t="s">
        <v>41</v>
      </c>
      <c r="C23" s="64" t="s">
        <v>35</v>
      </c>
      <c r="D23" s="92">
        <v>1</v>
      </c>
      <c r="E23" s="92">
        <v>1</v>
      </c>
      <c r="F23" s="96">
        <v>3344.16</v>
      </c>
      <c r="G23" s="61">
        <f t="shared" si="4"/>
        <v>3344.16</v>
      </c>
      <c r="H23" s="58"/>
      <c r="I23" s="97" t="s">
        <v>39</v>
      </c>
      <c r="J23" s="70">
        <f t="shared" si="1"/>
        <v>5.7845029785997475E-2</v>
      </c>
      <c r="K23" s="61">
        <v>0</v>
      </c>
      <c r="L23" s="62"/>
      <c r="M23" s="63"/>
      <c r="N23" s="63">
        <f>P24</f>
        <v>3400.84</v>
      </c>
      <c r="O23" s="32" t="s">
        <v>73</v>
      </c>
      <c r="P23" s="8">
        <f>829.48*9</f>
        <v>7465.32</v>
      </c>
      <c r="U23" s="6"/>
      <c r="V23" s="6"/>
    </row>
    <row r="24" spans="1:22" ht="79.5" customHeight="1">
      <c r="A24" s="48">
        <v>22</v>
      </c>
      <c r="B24" s="64" t="s">
        <v>42</v>
      </c>
      <c r="C24" s="64" t="s">
        <v>4</v>
      </c>
      <c r="D24" s="65">
        <v>4.8177000000000003</v>
      </c>
      <c r="E24" s="95">
        <v>1</v>
      </c>
      <c r="F24" s="81">
        <v>12103.62</v>
      </c>
      <c r="G24" s="61">
        <f t="shared" si="4"/>
        <v>58311.610074000011</v>
      </c>
      <c r="H24" s="69"/>
      <c r="I24" s="69" t="s">
        <v>43</v>
      </c>
      <c r="J24" s="70">
        <f t="shared" si="1"/>
        <v>1.0086350000000002</v>
      </c>
      <c r="K24" s="61"/>
      <c r="L24" s="62"/>
      <c r="M24" s="63"/>
      <c r="N24" s="63">
        <f>P25+K24</f>
        <v>59300.11</v>
      </c>
      <c r="O24" s="32"/>
      <c r="P24" s="8">
        <f>3400.84</f>
        <v>3400.84</v>
      </c>
      <c r="U24" s="7"/>
      <c r="V24" s="6"/>
    </row>
    <row r="25" spans="1:22" ht="51" customHeight="1">
      <c r="A25" s="48">
        <v>23</v>
      </c>
      <c r="B25" s="64" t="s">
        <v>44</v>
      </c>
      <c r="C25" s="64" t="s">
        <v>45</v>
      </c>
      <c r="D25" s="98">
        <v>2</v>
      </c>
      <c r="E25" s="95">
        <v>12</v>
      </c>
      <c r="F25" s="99">
        <f>2630.33*1.049</f>
        <v>2759.2161699999997</v>
      </c>
      <c r="G25" s="100">
        <f t="shared" si="4"/>
        <v>66221.188079999993</v>
      </c>
      <c r="H25" s="69"/>
      <c r="I25" s="69"/>
      <c r="J25" s="70">
        <f t="shared" si="1"/>
        <v>1.1454495589181559</v>
      </c>
      <c r="K25" s="86">
        <v>0</v>
      </c>
      <c r="L25" s="87"/>
      <c r="M25" s="88"/>
      <c r="N25" s="63">
        <f>P26+K25</f>
        <v>56119.6</v>
      </c>
      <c r="O25" s="32"/>
      <c r="P25" s="8">
        <f>59300.11</f>
        <v>59300.11</v>
      </c>
      <c r="U25" s="7"/>
      <c r="V25" s="6"/>
    </row>
    <row r="26" spans="1:22" ht="50.25" customHeight="1">
      <c r="A26" s="48">
        <v>24</v>
      </c>
      <c r="B26" s="101" t="s">
        <v>46</v>
      </c>
      <c r="C26" s="64" t="s">
        <v>47</v>
      </c>
      <c r="D26" s="92">
        <v>2</v>
      </c>
      <c r="E26" s="92">
        <v>12</v>
      </c>
      <c r="F26" s="102">
        <v>10641.83</v>
      </c>
      <c r="G26" s="75">
        <f t="shared" si="4"/>
        <v>255403.91999999998</v>
      </c>
      <c r="H26" s="93"/>
      <c r="I26" s="69"/>
      <c r="J26" s="70">
        <f t="shared" si="1"/>
        <v>4.41780517674409</v>
      </c>
      <c r="K26" s="103">
        <f>G26/2</f>
        <v>127701.95999999999</v>
      </c>
      <c r="L26" s="62"/>
      <c r="M26" s="63">
        <f>4190*2</f>
        <v>8380</v>
      </c>
      <c r="N26" s="63">
        <f>P27+K26+M26</f>
        <v>221216.59999999998</v>
      </c>
      <c r="O26" s="35" t="s">
        <v>72</v>
      </c>
      <c r="P26" s="8">
        <f>5611.96*10</f>
        <v>56119.6</v>
      </c>
      <c r="U26" s="7"/>
      <c r="V26" s="6"/>
    </row>
    <row r="27" spans="1:22" ht="72" customHeight="1">
      <c r="A27" s="48">
        <v>25</v>
      </c>
      <c r="B27" s="104" t="s">
        <v>48</v>
      </c>
      <c r="C27" s="64" t="s">
        <v>20</v>
      </c>
      <c r="D27" s="65">
        <v>4.8177000000000003</v>
      </c>
      <c r="E27" s="66">
        <v>2</v>
      </c>
      <c r="F27" s="105">
        <v>1604.39</v>
      </c>
      <c r="G27" s="61">
        <f t="shared" si="4"/>
        <v>15458.939406000001</v>
      </c>
      <c r="H27" s="106"/>
      <c r="I27" s="69" t="s">
        <v>49</v>
      </c>
      <c r="J27" s="70">
        <f t="shared" si="1"/>
        <v>0.2673983333333334</v>
      </c>
      <c r="K27" s="61">
        <f>G27*1.02</f>
        <v>15768.118194120001</v>
      </c>
      <c r="L27" s="62"/>
      <c r="M27" s="63"/>
      <c r="N27" s="63">
        <f t="shared" ref="N27:N32" si="5">P28+K27</f>
        <v>15768.118194120001</v>
      </c>
      <c r="O27" s="32">
        <f>G26/12</f>
        <v>21283.66</v>
      </c>
      <c r="P27" s="11">
        <f>F26*4*2</f>
        <v>85134.64</v>
      </c>
      <c r="V27" s="6"/>
    </row>
    <row r="28" spans="1:22" ht="70.5" customHeight="1">
      <c r="A28" s="48">
        <v>26</v>
      </c>
      <c r="B28" s="107" t="s">
        <v>50</v>
      </c>
      <c r="C28" s="64" t="s">
        <v>4</v>
      </c>
      <c r="D28" s="65">
        <v>4.8177000000000003</v>
      </c>
      <c r="E28" s="95">
        <v>12</v>
      </c>
      <c r="F28" s="81">
        <v>1350</v>
      </c>
      <c r="G28" s="61">
        <f>F28*E28*D28</f>
        <v>78046.740000000005</v>
      </c>
      <c r="H28" s="69"/>
      <c r="I28" s="69" t="s">
        <v>51</v>
      </c>
      <c r="J28" s="70">
        <f t="shared" si="1"/>
        <v>1.35</v>
      </c>
      <c r="K28" s="61"/>
      <c r="L28" s="62"/>
      <c r="M28" s="63"/>
      <c r="N28" s="63">
        <f t="shared" si="5"/>
        <v>66141.3</v>
      </c>
      <c r="O28" s="33"/>
      <c r="P28" s="12"/>
      <c r="V28" s="6"/>
    </row>
    <row r="29" spans="1:22" ht="53.25" customHeight="1">
      <c r="A29" s="48">
        <v>27</v>
      </c>
      <c r="B29" s="64" t="s">
        <v>67</v>
      </c>
      <c r="C29" s="184" t="s">
        <v>66</v>
      </c>
      <c r="D29" s="184"/>
      <c r="E29" s="184"/>
      <c r="F29" s="184"/>
      <c r="G29" s="61">
        <f>4817.7*2.5*12</f>
        <v>144531</v>
      </c>
      <c r="H29" s="108" t="s">
        <v>52</v>
      </c>
      <c r="I29" s="69" t="s">
        <v>53</v>
      </c>
      <c r="J29" s="70">
        <f t="shared" si="1"/>
        <v>2.5</v>
      </c>
      <c r="K29" s="61"/>
      <c r="L29" s="62"/>
      <c r="M29" s="63"/>
      <c r="N29" s="63">
        <f t="shared" si="5"/>
        <v>122483.9</v>
      </c>
      <c r="O29" s="32"/>
      <c r="P29" s="8">
        <f>6614.13*10</f>
        <v>66141.3</v>
      </c>
      <c r="U29" s="6"/>
      <c r="V29" s="6"/>
    </row>
    <row r="30" spans="1:22" ht="37.5" customHeight="1">
      <c r="A30" s="48">
        <v>28</v>
      </c>
      <c r="B30" s="109" t="s">
        <v>88</v>
      </c>
      <c r="C30" s="110"/>
      <c r="D30" s="110"/>
      <c r="E30" s="110"/>
      <c r="F30" s="110"/>
      <c r="G30" s="111">
        <v>89609.22</v>
      </c>
      <c r="H30" s="112"/>
      <c r="I30" s="113"/>
      <c r="J30" s="70"/>
      <c r="K30" s="103"/>
      <c r="L30" s="62"/>
      <c r="M30" s="63"/>
      <c r="N30" s="63">
        <f t="shared" si="5"/>
        <v>0</v>
      </c>
      <c r="O30" s="32"/>
      <c r="P30" s="12">
        <f>12248.39*10</f>
        <v>122483.9</v>
      </c>
      <c r="U30" s="7"/>
      <c r="V30" s="6"/>
    </row>
    <row r="31" spans="1:22" ht="36" customHeight="1">
      <c r="A31" s="48">
        <v>29</v>
      </c>
      <c r="B31" s="167" t="s">
        <v>69</v>
      </c>
      <c r="C31" s="114"/>
      <c r="D31" s="115">
        <v>4.8177000000000003</v>
      </c>
      <c r="E31" s="116">
        <v>12</v>
      </c>
      <c r="F31" s="117">
        <v>520</v>
      </c>
      <c r="G31" s="118">
        <v>30062.45</v>
      </c>
      <c r="H31" s="119"/>
      <c r="I31" s="59"/>
      <c r="J31" s="70"/>
      <c r="K31" s="61">
        <f>G31/2</f>
        <v>15031.225</v>
      </c>
      <c r="L31" s="62"/>
      <c r="M31" s="63"/>
      <c r="N31" s="63">
        <f t="shared" si="5"/>
        <v>23631.224999999999</v>
      </c>
      <c r="O31" s="32"/>
      <c r="P31" s="8"/>
      <c r="U31" s="7"/>
      <c r="V31" s="6"/>
    </row>
    <row r="32" spans="1:22" ht="409.6" customHeight="1">
      <c r="A32" s="48">
        <v>30</v>
      </c>
      <c r="B32" s="167" t="s">
        <v>54</v>
      </c>
      <c r="C32" s="109" t="s">
        <v>55</v>
      </c>
      <c r="D32" s="120">
        <v>4.8177000000000003</v>
      </c>
      <c r="E32" s="121">
        <v>12</v>
      </c>
      <c r="F32" s="122">
        <v>3660</v>
      </c>
      <c r="G32" s="111">
        <f>D32*E32*F32</f>
        <v>211593.38400000002</v>
      </c>
      <c r="H32" s="123" t="s">
        <v>56</v>
      </c>
      <c r="I32" s="113" t="s">
        <v>57</v>
      </c>
      <c r="J32" s="70">
        <f t="shared" si="1"/>
        <v>3.6600000000000006</v>
      </c>
      <c r="K32" s="124">
        <f>G32/12*1.02*6</f>
        <v>107912.62584000002</v>
      </c>
      <c r="L32" s="62"/>
      <c r="M32" s="63"/>
      <c r="N32" s="63">
        <f t="shared" si="5"/>
        <v>184417.70184000002</v>
      </c>
      <c r="O32" s="32"/>
      <c r="P32" s="8">
        <v>8600</v>
      </c>
      <c r="U32" s="7"/>
      <c r="V32" s="6"/>
    </row>
    <row r="33" spans="1:22" ht="33" customHeight="1">
      <c r="A33" s="48">
        <v>31</v>
      </c>
      <c r="B33" s="167" t="s">
        <v>71</v>
      </c>
      <c r="C33" s="125"/>
      <c r="D33" s="126"/>
      <c r="E33" s="127"/>
      <c r="F33" s="128"/>
      <c r="G33" s="129"/>
      <c r="H33" s="130"/>
      <c r="I33" s="131"/>
      <c r="J33" s="70"/>
      <c r="K33" s="124"/>
      <c r="L33" s="62"/>
      <c r="M33" s="63"/>
      <c r="N33" s="63">
        <v>32800</v>
      </c>
      <c r="O33" s="32"/>
      <c r="P33" s="12">
        <f>4*3970*4.8177</f>
        <v>76505.076000000001</v>
      </c>
      <c r="U33" s="7"/>
      <c r="V33" s="6"/>
    </row>
    <row r="34" spans="1:22" ht="52.5" customHeight="1">
      <c r="A34" s="48">
        <v>32</v>
      </c>
      <c r="B34" s="132" t="s">
        <v>74</v>
      </c>
      <c r="C34" s="133"/>
      <c r="D34" s="133"/>
      <c r="E34" s="133"/>
      <c r="F34" s="133"/>
      <c r="G34" s="134"/>
      <c r="H34" s="135"/>
      <c r="I34" s="69"/>
      <c r="J34" s="70"/>
      <c r="K34" s="136"/>
      <c r="L34" s="62"/>
      <c r="M34" s="63"/>
      <c r="N34" s="137">
        <f>61310/4</f>
        <v>15327.5</v>
      </c>
      <c r="O34" s="32"/>
      <c r="P34" s="12"/>
      <c r="U34" s="7"/>
      <c r="V34" s="6"/>
    </row>
    <row r="35" spans="1:22" ht="36" customHeight="1">
      <c r="A35" s="48">
        <v>33</v>
      </c>
      <c r="B35" s="132" t="s">
        <v>87</v>
      </c>
      <c r="C35" s="133"/>
      <c r="D35" s="133"/>
      <c r="E35" s="133"/>
      <c r="F35" s="133"/>
      <c r="G35" s="134"/>
      <c r="H35" s="135"/>
      <c r="I35" s="69"/>
      <c r="J35" s="70"/>
      <c r="K35" s="136"/>
      <c r="L35" s="62"/>
      <c r="M35" s="63"/>
      <c r="N35" s="137">
        <f>11968/4</f>
        <v>2992</v>
      </c>
      <c r="O35" s="32"/>
      <c r="P35" s="12">
        <f>K32/6*4</f>
        <v>71941.750560000015</v>
      </c>
      <c r="U35" s="6"/>
      <c r="V35" s="6"/>
    </row>
    <row r="36" spans="1:22" ht="43.5" customHeight="1">
      <c r="A36" s="48">
        <v>34</v>
      </c>
      <c r="B36" s="132" t="s">
        <v>86</v>
      </c>
      <c r="C36" s="133"/>
      <c r="D36" s="133"/>
      <c r="E36" s="133"/>
      <c r="F36" s="133"/>
      <c r="G36" s="134"/>
      <c r="H36" s="135"/>
      <c r="I36" s="69"/>
      <c r="J36" s="70"/>
      <c r="K36" s="57"/>
      <c r="L36" s="62"/>
      <c r="M36" s="63"/>
      <c r="N36" s="137">
        <f>15093/2</f>
        <v>7546.5</v>
      </c>
      <c r="O36" s="32"/>
      <c r="P36" s="8"/>
      <c r="U36" s="6"/>
      <c r="V36" s="6"/>
    </row>
    <row r="37" spans="1:22" ht="23.25">
      <c r="A37" s="48">
        <v>35</v>
      </c>
      <c r="B37" s="132" t="s">
        <v>85</v>
      </c>
      <c r="C37" s="133"/>
      <c r="D37" s="133"/>
      <c r="E37" s="133"/>
      <c r="F37" s="133"/>
      <c r="G37" s="134"/>
      <c r="H37" s="135"/>
      <c r="I37" s="69"/>
      <c r="J37" s="70"/>
      <c r="K37" s="57"/>
      <c r="L37" s="62"/>
      <c r="M37" s="63"/>
      <c r="N37" s="137">
        <v>28350</v>
      </c>
      <c r="O37" s="32"/>
      <c r="P37" s="8"/>
      <c r="U37" s="6"/>
      <c r="V37" s="6"/>
    </row>
    <row r="38" spans="1:22" ht="57" customHeight="1">
      <c r="A38" s="48">
        <v>36</v>
      </c>
      <c r="B38" s="138" t="s">
        <v>84</v>
      </c>
      <c r="C38" s="14" t="s">
        <v>58</v>
      </c>
      <c r="D38" s="48">
        <v>80</v>
      </c>
      <c r="E38" s="48">
        <v>1</v>
      </c>
      <c r="F38" s="139">
        <v>300</v>
      </c>
      <c r="G38" s="140"/>
      <c r="H38" s="141" t="s">
        <v>59</v>
      </c>
      <c r="I38" s="69"/>
      <c r="J38" s="70">
        <f t="shared" si="1"/>
        <v>0</v>
      </c>
      <c r="K38" s="61"/>
      <c r="L38" s="62"/>
      <c r="M38" s="63"/>
      <c r="N38" s="63">
        <f>83822.4</f>
        <v>83822.399999999994</v>
      </c>
      <c r="O38" s="32"/>
      <c r="P38" s="8"/>
      <c r="U38" s="6"/>
      <c r="V38" s="6"/>
    </row>
    <row r="39" spans="1:22" ht="48" customHeight="1">
      <c r="A39" s="48">
        <v>37</v>
      </c>
      <c r="B39" s="142" t="s">
        <v>83</v>
      </c>
      <c r="C39" s="143" t="s">
        <v>58</v>
      </c>
      <c r="D39" s="144">
        <v>2</v>
      </c>
      <c r="E39" s="144">
        <v>1</v>
      </c>
      <c r="F39" s="145">
        <v>1800</v>
      </c>
      <c r="G39" s="146"/>
      <c r="H39" s="141" t="s">
        <v>59</v>
      </c>
      <c r="I39" s="69"/>
      <c r="J39" s="70">
        <f t="shared" si="1"/>
        <v>0</v>
      </c>
      <c r="K39" s="61"/>
      <c r="L39" s="62"/>
      <c r="M39" s="63"/>
      <c r="N39" s="63">
        <f>12236.4</f>
        <v>12236.4</v>
      </c>
      <c r="O39" s="32"/>
      <c r="P39" s="8"/>
      <c r="U39" s="6"/>
      <c r="V39" s="6"/>
    </row>
    <row r="40" spans="1:22" ht="34.5" customHeight="1">
      <c r="A40" s="48">
        <v>38</v>
      </c>
      <c r="B40" s="148" t="s">
        <v>82</v>
      </c>
      <c r="C40" s="149" t="s">
        <v>58</v>
      </c>
      <c r="D40" s="95">
        <v>24</v>
      </c>
      <c r="E40" s="95">
        <v>1</v>
      </c>
      <c r="F40" s="150">
        <v>1800</v>
      </c>
      <c r="G40" s="100"/>
      <c r="H40" s="141" t="s">
        <v>59</v>
      </c>
      <c r="I40" s="69"/>
      <c r="J40" s="70">
        <f t="shared" si="1"/>
        <v>0</v>
      </c>
      <c r="K40" s="61"/>
      <c r="L40" s="151"/>
      <c r="M40" s="137"/>
      <c r="N40" s="137">
        <v>3224.4</v>
      </c>
      <c r="O40" s="32"/>
      <c r="P40" s="8"/>
      <c r="U40" s="6"/>
      <c r="V40" s="6"/>
    </row>
    <row r="41" spans="1:22" ht="33" customHeight="1">
      <c r="A41" s="48">
        <v>44</v>
      </c>
      <c r="B41" s="181" t="s">
        <v>60</v>
      </c>
      <c r="C41" s="181" t="s">
        <v>60</v>
      </c>
      <c r="D41" s="181" t="s">
        <v>60</v>
      </c>
      <c r="E41" s="181" t="s">
        <v>60</v>
      </c>
      <c r="F41" s="181" t="s">
        <v>60</v>
      </c>
      <c r="G41" s="152">
        <v>6403.5719999999992</v>
      </c>
      <c r="H41" s="108"/>
      <c r="I41" s="69" t="s">
        <v>61</v>
      </c>
      <c r="J41" s="70">
        <f t="shared" si="1"/>
        <v>0.11076468024160907</v>
      </c>
      <c r="K41" s="103">
        <v>4813.9399999999996</v>
      </c>
      <c r="L41" s="62"/>
      <c r="M41" s="63"/>
      <c r="N41" s="63">
        <f>M41+K41</f>
        <v>4813.9399999999996</v>
      </c>
      <c r="O41" s="32"/>
      <c r="P41" s="8"/>
      <c r="U41" s="6"/>
      <c r="V41" s="6"/>
    </row>
    <row r="42" spans="1:22" ht="42" customHeight="1">
      <c r="A42" s="48">
        <v>45</v>
      </c>
      <c r="B42" s="182" t="s">
        <v>62</v>
      </c>
      <c r="C42" s="182" t="s">
        <v>62</v>
      </c>
      <c r="D42" s="182" t="s">
        <v>62</v>
      </c>
      <c r="E42" s="182" t="s">
        <v>62</v>
      </c>
      <c r="F42" s="182" t="s">
        <v>62</v>
      </c>
      <c r="G42" s="152">
        <v>28691.280000000006</v>
      </c>
      <c r="H42" s="108"/>
      <c r="I42" s="69" t="s">
        <v>61</v>
      </c>
      <c r="J42" s="70">
        <f t="shared" si="1"/>
        <v>0.49628245843452284</v>
      </c>
      <c r="K42" s="103">
        <f>23338.68+4.1</f>
        <v>23342.78</v>
      </c>
      <c r="L42" s="62"/>
      <c r="M42" s="63"/>
      <c r="N42" s="63">
        <f t="shared" ref="N42:N45" si="6">M42+K42</f>
        <v>23342.78</v>
      </c>
      <c r="O42" s="32"/>
      <c r="P42" s="8"/>
      <c r="U42" s="6"/>
      <c r="V42" s="6"/>
    </row>
    <row r="43" spans="1:22" ht="42.75" customHeight="1">
      <c r="A43" s="48">
        <v>46</v>
      </c>
      <c r="B43" s="182" t="s">
        <v>63</v>
      </c>
      <c r="C43" s="182" t="s">
        <v>63</v>
      </c>
      <c r="D43" s="182" t="s">
        <v>63</v>
      </c>
      <c r="E43" s="182" t="s">
        <v>63</v>
      </c>
      <c r="F43" s="182" t="s">
        <v>63</v>
      </c>
      <c r="G43" s="152">
        <v>6403.5719999999992</v>
      </c>
      <c r="H43" s="108"/>
      <c r="I43" s="69" t="s">
        <v>61</v>
      </c>
      <c r="J43" s="70">
        <f t="shared" si="1"/>
        <v>0.11076468024160907</v>
      </c>
      <c r="K43" s="103">
        <v>5984.97</v>
      </c>
      <c r="L43" s="62"/>
      <c r="M43" s="63"/>
      <c r="N43" s="63">
        <f t="shared" si="6"/>
        <v>5984.97</v>
      </c>
      <c r="O43" s="32">
        <f>N38/1.2</f>
        <v>69852</v>
      </c>
      <c r="P43" s="8">
        <f>99587/1.2</f>
        <v>82989.166666666672</v>
      </c>
      <c r="U43" s="6"/>
      <c r="V43" s="6"/>
    </row>
    <row r="44" spans="1:22" ht="35.25" customHeight="1">
      <c r="A44" s="48">
        <v>47</v>
      </c>
      <c r="B44" s="182" t="s">
        <v>64</v>
      </c>
      <c r="C44" s="182" t="s">
        <v>64</v>
      </c>
      <c r="D44" s="182" t="s">
        <v>64</v>
      </c>
      <c r="E44" s="182" t="s">
        <v>64</v>
      </c>
      <c r="F44" s="182" t="s">
        <v>64</v>
      </c>
      <c r="G44" s="152">
        <v>6738.8543999999993</v>
      </c>
      <c r="H44" s="108"/>
      <c r="I44" s="69" t="s">
        <v>61</v>
      </c>
      <c r="J44" s="70">
        <f t="shared" si="1"/>
        <v>0.11656416962450962</v>
      </c>
      <c r="K44" s="103">
        <v>5532.01</v>
      </c>
      <c r="L44" s="62"/>
      <c r="M44" s="63"/>
      <c r="N44" s="63">
        <f t="shared" si="6"/>
        <v>5532.01</v>
      </c>
      <c r="O44" s="32"/>
      <c r="P44" s="8"/>
    </row>
    <row r="45" spans="1:22" ht="39" customHeight="1">
      <c r="A45" s="48">
        <v>48</v>
      </c>
      <c r="B45" s="182" t="s">
        <v>65</v>
      </c>
      <c r="C45" s="182" t="s">
        <v>65</v>
      </c>
      <c r="D45" s="182" t="s">
        <v>65</v>
      </c>
      <c r="E45" s="182" t="s">
        <v>65</v>
      </c>
      <c r="F45" s="182" t="s">
        <v>65</v>
      </c>
      <c r="G45" s="152">
        <v>34156.484999999986</v>
      </c>
      <c r="H45" s="108"/>
      <c r="I45" s="69" t="s">
        <v>61</v>
      </c>
      <c r="J45" s="70">
        <f t="shared" si="1"/>
        <v>0.59081589762749842</v>
      </c>
      <c r="K45" s="103">
        <v>14486.37</v>
      </c>
      <c r="L45" s="62"/>
      <c r="M45" s="63"/>
      <c r="N45" s="63">
        <f t="shared" si="6"/>
        <v>14486.37</v>
      </c>
      <c r="O45" s="32"/>
      <c r="P45" s="8"/>
    </row>
    <row r="46" spans="1:22" ht="33" customHeight="1">
      <c r="A46" s="147"/>
      <c r="B46" s="183" t="s">
        <v>80</v>
      </c>
      <c r="C46" s="183"/>
      <c r="D46" s="183"/>
      <c r="E46" s="183"/>
      <c r="F46" s="183"/>
      <c r="G46" s="153" t="e">
        <f>SUM(G8:G45)-#REF!</f>
        <v>#REF!</v>
      </c>
      <c r="H46" s="154"/>
      <c r="I46" s="154"/>
      <c r="J46" s="70" t="e">
        <f t="shared" si="1"/>
        <v>#REF!</v>
      </c>
      <c r="K46" s="155"/>
      <c r="L46" s="62"/>
      <c r="M46" s="63"/>
      <c r="N46" s="63">
        <f>SUM(N8:N45)</f>
        <v>1159682.7970341197</v>
      </c>
      <c r="O46" s="35"/>
      <c r="P46" s="8"/>
    </row>
    <row r="47" spans="1:22" ht="23.25">
      <c r="A47" s="156"/>
      <c r="B47" s="168" t="s">
        <v>81</v>
      </c>
      <c r="C47" s="168"/>
      <c r="D47" s="168"/>
      <c r="E47" s="168"/>
      <c r="F47" s="168"/>
      <c r="G47" s="157" t="e">
        <f>G46/12/4817.7</f>
        <v>#REF!</v>
      </c>
      <c r="H47" s="158"/>
      <c r="I47" s="158"/>
      <c r="J47" s="70"/>
      <c r="K47" s="159"/>
      <c r="L47" s="62"/>
      <c r="M47" s="160"/>
      <c r="N47" s="160">
        <f>N5+N6-N46</f>
        <v>202304.65296588023</v>
      </c>
      <c r="O47" s="32"/>
      <c r="P47" s="8"/>
    </row>
    <row r="48" spans="1:22" ht="23.25">
      <c r="A48" s="161"/>
      <c r="B48" s="169"/>
      <c r="C48" s="169"/>
      <c r="D48" s="169"/>
      <c r="E48" s="169"/>
      <c r="F48" s="169"/>
      <c r="G48" s="162">
        <f>SUM(J41:J45)</f>
        <v>1.425191886169749</v>
      </c>
      <c r="H48" s="163"/>
      <c r="I48" s="163"/>
      <c r="J48" s="164"/>
      <c r="K48" s="165"/>
      <c r="L48" s="166"/>
      <c r="M48" s="63"/>
      <c r="N48" s="63"/>
      <c r="O48" s="32"/>
      <c r="P48" s="8"/>
      <c r="U48" s="6"/>
      <c r="V48" s="6"/>
    </row>
    <row r="49" spans="1:22" ht="21">
      <c r="A49" s="37"/>
      <c r="B49" s="170"/>
      <c r="C49" s="170"/>
      <c r="D49" s="170"/>
      <c r="E49" s="170"/>
      <c r="F49" s="170"/>
      <c r="G49" s="38" t="e">
        <f>G47-G48</f>
        <v>#REF!</v>
      </c>
      <c r="H49" s="18"/>
      <c r="I49" s="18"/>
      <c r="J49" s="19"/>
      <c r="K49" s="39"/>
      <c r="L49" s="40"/>
      <c r="M49" s="21"/>
      <c r="N49" s="21"/>
      <c r="O49" s="32"/>
      <c r="P49" s="8"/>
      <c r="U49" s="6"/>
      <c r="V49" s="6"/>
    </row>
    <row r="50" spans="1:22" ht="21">
      <c r="A50" s="23"/>
      <c r="B50" s="41"/>
      <c r="C50" s="41"/>
      <c r="D50" s="41"/>
      <c r="E50" s="41"/>
      <c r="F50" s="41"/>
      <c r="G50" s="42">
        <f>4817.7*2.5*12</f>
        <v>144531</v>
      </c>
      <c r="H50" s="43"/>
      <c r="I50" s="41"/>
      <c r="J50" s="19">
        <f>G50/12/4817.7</f>
        <v>2.5</v>
      </c>
      <c r="K50" s="21"/>
      <c r="L50" s="21"/>
      <c r="M50" s="44"/>
      <c r="N50" s="21"/>
      <c r="O50" s="32"/>
      <c r="P50" s="8"/>
      <c r="U50" s="6"/>
      <c r="V50" s="6"/>
    </row>
    <row r="51" spans="1:22" ht="21">
      <c r="A51" s="23"/>
      <c r="B51" s="41"/>
      <c r="C51" s="41"/>
      <c r="D51" s="41"/>
      <c r="E51" s="41"/>
      <c r="F51" s="41"/>
      <c r="G51" s="42" t="e">
        <f>G46+G50</f>
        <v>#REF!</v>
      </c>
      <c r="H51" s="41"/>
      <c r="I51" s="41"/>
      <c r="J51" s="19" t="e">
        <f>G51/12/4817.7</f>
        <v>#REF!</v>
      </c>
      <c r="K51" s="21"/>
      <c r="L51" s="21"/>
      <c r="M51" s="45"/>
      <c r="N51" s="45"/>
      <c r="O51" s="32"/>
      <c r="P51" s="8"/>
      <c r="V51" s="6"/>
    </row>
    <row r="52" spans="1:22" ht="21">
      <c r="A52" s="23"/>
      <c r="B52" s="18"/>
      <c r="C52" s="18"/>
      <c r="D52" s="18"/>
      <c r="E52" s="18"/>
      <c r="F52" s="18"/>
      <c r="G52" s="46" t="e">
        <f>J51</f>
        <v>#REF!</v>
      </c>
      <c r="H52" s="18"/>
      <c r="I52" s="18"/>
      <c r="J52" s="18"/>
      <c r="K52" s="21"/>
      <c r="L52" s="21"/>
      <c r="M52" s="45"/>
      <c r="N52" s="21"/>
      <c r="O52" s="32"/>
      <c r="P52" s="8"/>
      <c r="V52" s="6"/>
    </row>
    <row r="53" spans="1:22" ht="39" customHeight="1">
      <c r="A53" s="23"/>
      <c r="B53" s="18"/>
      <c r="C53" s="18"/>
      <c r="D53" s="18"/>
      <c r="E53" s="18"/>
      <c r="F53" s="18"/>
      <c r="G53" s="29"/>
      <c r="H53" s="18"/>
      <c r="I53" s="18"/>
      <c r="J53" s="18"/>
      <c r="K53" s="21"/>
      <c r="L53" s="21"/>
      <c r="M53" s="22"/>
      <c r="N53" s="21"/>
      <c r="O53" s="32"/>
      <c r="P53" s="8"/>
      <c r="V53" s="6"/>
    </row>
    <row r="54" spans="1:22" ht="36.75" customHeight="1">
      <c r="A54" s="16"/>
      <c r="B54" s="171"/>
      <c r="C54" s="171"/>
      <c r="D54" s="171"/>
      <c r="E54" s="171"/>
      <c r="F54" s="171"/>
      <c r="G54" s="17"/>
      <c r="H54" s="18"/>
      <c r="I54" s="18"/>
      <c r="J54" s="19"/>
      <c r="K54" s="20"/>
      <c r="L54" s="21"/>
      <c r="M54" s="22"/>
      <c r="N54" s="21"/>
      <c r="O54" s="15"/>
      <c r="P54" s="8"/>
      <c r="V54" s="6"/>
    </row>
    <row r="55" spans="1:22" ht="28.5" customHeight="1">
      <c r="A55" s="23"/>
      <c r="B55" s="18"/>
      <c r="C55" s="18"/>
      <c r="D55" s="18"/>
      <c r="E55" s="18"/>
      <c r="F55" s="18"/>
      <c r="G55" s="18"/>
      <c r="H55" s="18"/>
      <c r="I55" s="18"/>
      <c r="J55" s="18"/>
      <c r="K55" s="24"/>
      <c r="L55" s="24"/>
      <c r="M55" s="24"/>
      <c r="N55" s="24"/>
      <c r="O55" s="15"/>
      <c r="P55" s="8"/>
      <c r="V55" s="6"/>
    </row>
    <row r="56" spans="1:22" ht="30" customHeight="1">
      <c r="A56" s="23"/>
      <c r="B56" s="2"/>
      <c r="C56" s="25"/>
      <c r="D56" s="25"/>
      <c r="E56" s="25"/>
      <c r="F56" s="25"/>
      <c r="G56" s="25"/>
      <c r="H56" s="25"/>
      <c r="I56" s="25"/>
      <c r="J56" s="25"/>
      <c r="K56" s="24"/>
      <c r="L56" s="24"/>
      <c r="M56" s="24"/>
      <c r="N56" s="24"/>
      <c r="O56" s="15"/>
      <c r="P56" s="8"/>
      <c r="V56" s="6"/>
    </row>
    <row r="57" spans="1:22" ht="34.5" customHeight="1">
      <c r="A57" s="23"/>
      <c r="B57" s="2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15"/>
      <c r="P57" s="8"/>
      <c r="V57" s="6"/>
    </row>
    <row r="58" spans="1:22" ht="21" customHeight="1">
      <c r="A58" s="23"/>
      <c r="B58" s="27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5"/>
      <c r="P58" s="8"/>
      <c r="V58" s="6"/>
    </row>
    <row r="59" spans="1:22" ht="27.75" customHeight="1">
      <c r="A59" s="23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5"/>
      <c r="P59" s="8"/>
      <c r="V59" s="6"/>
    </row>
    <row r="60" spans="1:22" ht="21">
      <c r="A60" s="23"/>
      <c r="B60" s="23"/>
      <c r="C60" s="28"/>
      <c r="D60" s="2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5"/>
      <c r="P60" s="8"/>
      <c r="V60" s="6"/>
    </row>
    <row r="61" spans="1:22" ht="21">
      <c r="A61" s="1"/>
      <c r="B61" s="3"/>
      <c r="C61" s="4"/>
      <c r="D61" s="5"/>
      <c r="O61" s="15"/>
      <c r="P61" s="8"/>
      <c r="V61" s="6"/>
    </row>
    <row r="62" spans="1:22" ht="21">
      <c r="O62" s="15"/>
      <c r="P62" s="8"/>
      <c r="V62" s="6"/>
    </row>
    <row r="63" spans="1:22" ht="21">
      <c r="O63" s="15"/>
      <c r="P63" s="8"/>
      <c r="V63" s="7"/>
    </row>
    <row r="64" spans="1:22" ht="21">
      <c r="O64" s="15"/>
      <c r="P64" s="8"/>
      <c r="V64" s="7"/>
    </row>
    <row r="65" spans="15:22" ht="21">
      <c r="O65" s="15"/>
      <c r="P65" s="8"/>
      <c r="V65" s="7"/>
    </row>
    <row r="66" spans="15:22" ht="21">
      <c r="O66" s="15"/>
      <c r="P66" s="8"/>
      <c r="V66" s="7"/>
    </row>
    <row r="67" spans="15:22" ht="21">
      <c r="O67" s="15"/>
      <c r="P67" s="8"/>
      <c r="V67" s="7"/>
    </row>
    <row r="68" spans="15:22" ht="21">
      <c r="O68" s="15"/>
      <c r="P68" s="8"/>
      <c r="V68" s="7"/>
    </row>
    <row r="69" spans="15:22" ht="21">
      <c r="O69" s="15">
        <v>129287</v>
      </c>
      <c r="P69" s="8"/>
    </row>
    <row r="70" spans="15:22" ht="21">
      <c r="O70" s="15">
        <v>1201707.97</v>
      </c>
      <c r="P70" s="8"/>
    </row>
    <row r="71" spans="15:22" ht="21">
      <c r="O71" s="36">
        <v>1232700.45</v>
      </c>
      <c r="P71" s="30"/>
    </row>
    <row r="72" spans="15:22" ht="21">
      <c r="O72" s="21">
        <f>N46</f>
        <v>1159682.7970341197</v>
      </c>
      <c r="P72" s="25"/>
      <c r="Q72" s="18"/>
    </row>
    <row r="73" spans="15:22" ht="21">
      <c r="O73" s="21">
        <f>O69+O71-N46</f>
        <v>202304.65296588023</v>
      </c>
      <c r="P73" s="31">
        <f>O73/4817.7</f>
        <v>41.991957358465704</v>
      </c>
      <c r="Q73" s="18"/>
    </row>
    <row r="74" spans="15:22" ht="21">
      <c r="O74" s="21"/>
      <c r="P74" s="18"/>
      <c r="Q74" s="18"/>
    </row>
    <row r="75" spans="15:22" ht="21">
      <c r="O75" s="9"/>
    </row>
    <row r="76" spans="15:22" ht="21">
      <c r="O76" s="9"/>
    </row>
  </sheetData>
  <mergeCells count="14">
    <mergeCell ref="B47:F47"/>
    <mergeCell ref="B48:F48"/>
    <mergeCell ref="B49:F49"/>
    <mergeCell ref="B54:F54"/>
    <mergeCell ref="A1:N1"/>
    <mergeCell ref="B2:N2"/>
    <mergeCell ref="A3:N3"/>
    <mergeCell ref="B41:F41"/>
    <mergeCell ref="B42:F42"/>
    <mergeCell ref="B43:F43"/>
    <mergeCell ref="B44:F44"/>
    <mergeCell ref="B45:F45"/>
    <mergeCell ref="B46:F46"/>
    <mergeCell ref="C29:F29"/>
  </mergeCells>
  <hyperlinks>
    <hyperlink ref="H9" location="к2!A1" display="Калькуляция №2"/>
    <hyperlink ref="H32" location="РС11!A1" display="Расчет стоимости услуг №11"/>
  </hyperlinks>
  <pageMargins left="0.70866141732283472" right="0.70866141732283472" top="0.74803149606299213" bottom="0.74803149606299213" header="0.31496062992125984" footer="0.31496062992125984"/>
  <pageSetup paperSize="9" scale="47" orientation="portrait" horizontalDpi="180" verticalDpi="180" r:id="rId1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35-19-2 ОТчет  ЖЭУ-10</vt:lpstr>
      <vt:lpstr>'35-19-2 ОТчет  ЖЭУ-10'!Область_печати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2019-12-12T07:38:32Z</dcterms:modified>
</cp:coreProperties>
</file>